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runneteler/Documents/2 Privat/Projekte/Finance/Excel/"/>
    </mc:Choice>
  </mc:AlternateContent>
  <xr:revisionPtr revIDLastSave="0" documentId="8_{062C90A3-49DE-EE49-9AE3-FD2A88FCE95A}" xr6:coauthVersionLast="47" xr6:coauthVersionMax="47" xr10:uidLastSave="{00000000-0000-0000-0000-000000000000}"/>
  <bookViews>
    <workbookView xWindow="0" yWindow="660" windowWidth="30240" windowHeight="18980" activeTab="3" xr2:uid="{00000000-000D-0000-FFFF-FFFF00000000}"/>
  </bookViews>
  <sheets>
    <sheet name="Company Factsheet" sheetId="1" r:id="rId1"/>
    <sheet name="Assumptions" sheetId="2" r:id="rId2"/>
    <sheet name="13WCF" sheetId="3" r:id="rId3"/>
    <sheet name="Dashboard" sheetId="4" r:id="rId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4" l="1"/>
  <c r="P7" i="3"/>
  <c r="C7" i="4"/>
  <c r="I29" i="3"/>
  <c r="D29" i="3"/>
  <c r="D5" i="3"/>
  <c r="C26" i="3"/>
  <c r="C42" i="3" s="1"/>
  <c r="C18" i="4"/>
  <c r="C9" i="4"/>
  <c r="C5" i="4"/>
  <c r="C40" i="3"/>
  <c r="P40" i="3" s="1"/>
  <c r="J36" i="3"/>
  <c r="I36" i="3"/>
  <c r="G36" i="3"/>
  <c r="F36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O25" i="3"/>
  <c r="N25" i="3"/>
  <c r="M25" i="3"/>
  <c r="L25" i="3"/>
  <c r="K25" i="3"/>
  <c r="J25" i="3"/>
  <c r="I25" i="3"/>
  <c r="H25" i="3"/>
  <c r="G25" i="3"/>
  <c r="F25" i="3"/>
  <c r="P25" i="3" s="1"/>
  <c r="E25" i="3"/>
  <c r="D25" i="3"/>
  <c r="C25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P24" i="3" s="1"/>
  <c r="O23" i="3"/>
  <c r="N23" i="3"/>
  <c r="M23" i="3"/>
  <c r="L23" i="3"/>
  <c r="K23" i="3"/>
  <c r="J23" i="3"/>
  <c r="I23" i="3"/>
  <c r="H23" i="3"/>
  <c r="G23" i="3"/>
  <c r="F23" i="3"/>
  <c r="E23" i="3"/>
  <c r="D23" i="3"/>
  <c r="P23" i="3" s="1"/>
  <c r="C23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P22" i="3" s="1"/>
  <c r="O21" i="3"/>
  <c r="N21" i="3"/>
  <c r="M21" i="3"/>
  <c r="L21" i="3"/>
  <c r="K21" i="3"/>
  <c r="J21" i="3"/>
  <c r="I21" i="3"/>
  <c r="H21" i="3"/>
  <c r="G21" i="3"/>
  <c r="F21" i="3"/>
  <c r="E21" i="3"/>
  <c r="P21" i="3" s="1"/>
  <c r="D21" i="3"/>
  <c r="C21" i="3"/>
  <c r="O20" i="3"/>
  <c r="N20" i="3"/>
  <c r="M20" i="3"/>
  <c r="L20" i="3"/>
  <c r="K20" i="3"/>
  <c r="J20" i="3"/>
  <c r="I20" i="3"/>
  <c r="H20" i="3"/>
  <c r="G20" i="3"/>
  <c r="F20" i="3"/>
  <c r="P20" i="3" s="1"/>
  <c r="E20" i="3"/>
  <c r="D20" i="3"/>
  <c r="C20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P19" i="3" s="1"/>
  <c r="O18" i="3"/>
  <c r="N18" i="3"/>
  <c r="M18" i="3"/>
  <c r="L18" i="3"/>
  <c r="K18" i="3"/>
  <c r="J18" i="3"/>
  <c r="I18" i="3"/>
  <c r="H18" i="3"/>
  <c r="G18" i="3"/>
  <c r="F18" i="3"/>
  <c r="E18" i="3"/>
  <c r="D18" i="3"/>
  <c r="P18" i="3" s="1"/>
  <c r="C18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P17" i="3" s="1"/>
  <c r="O16" i="3"/>
  <c r="G16" i="3"/>
  <c r="F16" i="3"/>
  <c r="E16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C14" i="4" s="1"/>
  <c r="O11" i="3"/>
  <c r="N11" i="3"/>
  <c r="M11" i="3"/>
  <c r="L11" i="3"/>
  <c r="K11" i="3"/>
  <c r="J11" i="3"/>
  <c r="I11" i="3"/>
  <c r="H11" i="3"/>
  <c r="G11" i="3"/>
  <c r="F11" i="3"/>
  <c r="E11" i="3"/>
  <c r="D11" i="3"/>
  <c r="P11" i="3" s="1"/>
  <c r="C11" i="3"/>
  <c r="C7" i="3"/>
  <c r="C5" i="3"/>
  <c r="O4" i="3"/>
  <c r="O36" i="3" s="1"/>
  <c r="N4" i="3"/>
  <c r="N16" i="3" s="1"/>
  <c r="M4" i="3"/>
  <c r="M16" i="3" s="1"/>
  <c r="L4" i="3"/>
  <c r="L16" i="3" s="1"/>
  <c r="K4" i="3"/>
  <c r="K36" i="3" s="1"/>
  <c r="J4" i="3"/>
  <c r="J10" i="3" s="1"/>
  <c r="I4" i="3"/>
  <c r="I10" i="3" s="1"/>
  <c r="H4" i="3"/>
  <c r="H36" i="3" s="1"/>
  <c r="G4" i="3"/>
  <c r="G10" i="3" s="1"/>
  <c r="F4" i="3"/>
  <c r="F10" i="3" s="1"/>
  <c r="E4" i="3"/>
  <c r="E36" i="3" s="1"/>
  <c r="D4" i="3"/>
  <c r="D16" i="3" s="1"/>
  <c r="C4" i="3"/>
  <c r="C16" i="3" s="1"/>
  <c r="D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60" i="2" s="1"/>
  <c r="E60" i="2" s="1"/>
  <c r="F40" i="2"/>
  <c r="D31" i="2"/>
  <c r="H30" i="2"/>
  <c r="F30" i="2"/>
  <c r="H29" i="2"/>
  <c r="F29" i="2"/>
  <c r="H28" i="2"/>
  <c r="F28" i="2"/>
  <c r="H27" i="2"/>
  <c r="F27" i="2"/>
  <c r="H26" i="2"/>
  <c r="F26" i="2"/>
  <c r="H25" i="2"/>
  <c r="F25" i="2"/>
  <c r="H24" i="2"/>
  <c r="F24" i="2"/>
  <c r="H23" i="2"/>
  <c r="F23" i="2"/>
  <c r="H22" i="2"/>
  <c r="F22" i="2"/>
  <c r="H21" i="2"/>
  <c r="F21" i="2"/>
  <c r="H20" i="2"/>
  <c r="F20" i="2"/>
  <c r="H19" i="2"/>
  <c r="F19" i="2"/>
  <c r="H18" i="2"/>
  <c r="F18" i="2"/>
  <c r="H17" i="2"/>
  <c r="F17" i="2"/>
  <c r="F31" i="2" s="1"/>
  <c r="C9" i="2"/>
  <c r="D51" i="1"/>
  <c r="D44" i="1"/>
  <c r="D43" i="1"/>
  <c r="D42" i="1"/>
  <c r="D41" i="1"/>
  <c r="D40" i="1"/>
  <c r="D39" i="1"/>
  <c r="D38" i="1"/>
  <c r="D45" i="1" s="1"/>
  <c r="D33" i="1"/>
  <c r="D34" i="1" s="1"/>
  <c r="E27" i="1"/>
  <c r="F26" i="1"/>
  <c r="F25" i="1"/>
  <c r="F24" i="1"/>
  <c r="F23" i="1"/>
  <c r="F27" i="1" s="1"/>
  <c r="G18" i="1"/>
  <c r="E5" i="3" l="1"/>
  <c r="F5" i="3" s="1"/>
  <c r="G5" i="3" s="1"/>
  <c r="H5" i="3" s="1"/>
  <c r="I5" i="3" s="1"/>
  <c r="J5" i="3" s="1"/>
  <c r="K5" i="3" s="1"/>
  <c r="L5" i="3" s="1"/>
  <c r="M5" i="3" s="1"/>
  <c r="N5" i="3" s="1"/>
  <c r="O5" i="3" s="1"/>
  <c r="J13" i="3"/>
  <c r="D18" i="4"/>
  <c r="E18" i="4" s="1"/>
  <c r="E31" i="2"/>
  <c r="F41" i="3"/>
  <c r="F13" i="3"/>
  <c r="G13" i="3"/>
  <c r="G41" i="3"/>
  <c r="I41" i="3"/>
  <c r="I13" i="3"/>
  <c r="C27" i="3"/>
  <c r="M10" i="3"/>
  <c r="D10" i="3"/>
  <c r="N10" i="3"/>
  <c r="H16" i="3"/>
  <c r="L36" i="3"/>
  <c r="E10" i="3"/>
  <c r="O10" i="3"/>
  <c r="I16" i="3"/>
  <c r="C36" i="3"/>
  <c r="M36" i="3"/>
  <c r="J16" i="3"/>
  <c r="J41" i="3" s="1"/>
  <c r="D36" i="3"/>
  <c r="N36" i="3"/>
  <c r="L10" i="3"/>
  <c r="C10" i="3"/>
  <c r="P12" i="3"/>
  <c r="K16" i="3"/>
  <c r="H10" i="3"/>
  <c r="K10" i="3"/>
  <c r="O41" i="3" l="1"/>
  <c r="O13" i="3"/>
  <c r="D41" i="3"/>
  <c r="D13" i="3"/>
  <c r="E41" i="3"/>
  <c r="E13" i="3"/>
  <c r="N41" i="3"/>
  <c r="N13" i="3"/>
  <c r="D23" i="4"/>
  <c r="P16" i="3"/>
  <c r="L41" i="3"/>
  <c r="L13" i="3"/>
  <c r="K41" i="3"/>
  <c r="K13" i="3"/>
  <c r="H13" i="3"/>
  <c r="H41" i="3"/>
  <c r="C19" i="4"/>
  <c r="P36" i="3"/>
  <c r="D19" i="4"/>
  <c r="C41" i="3"/>
  <c r="P10" i="3"/>
  <c r="C13" i="3"/>
  <c r="M41" i="3"/>
  <c r="M13" i="3"/>
  <c r="P13" i="3" l="1"/>
  <c r="C29" i="3"/>
  <c r="P41" i="3"/>
  <c r="C43" i="3"/>
  <c r="D40" i="3" s="1"/>
  <c r="E19" i="4"/>
  <c r="D26" i="3" l="1"/>
  <c r="C35" i="3"/>
  <c r="C30" i="3"/>
  <c r="C37" i="3"/>
  <c r="D7" i="3" l="1"/>
  <c r="C32" i="3"/>
  <c r="D42" i="3"/>
  <c r="D27" i="3"/>
  <c r="D43" i="3" l="1"/>
  <c r="E40" i="3" s="1"/>
  <c r="D30" i="3"/>
  <c r="E26" i="3" l="1"/>
  <c r="E7" i="3"/>
  <c r="D32" i="3"/>
  <c r="D35" i="3"/>
  <c r="D37" i="3"/>
  <c r="E42" i="3" l="1"/>
  <c r="E27" i="3"/>
  <c r="E43" i="3" l="1"/>
  <c r="F40" i="3" s="1"/>
  <c r="E29" i="3"/>
  <c r="E35" i="3" l="1"/>
  <c r="E30" i="3"/>
  <c r="E37" i="3"/>
  <c r="F26" i="3"/>
  <c r="F42" i="3" l="1"/>
  <c r="F27" i="3"/>
  <c r="E32" i="3"/>
  <c r="F7" i="3"/>
  <c r="F29" i="3" l="1"/>
  <c r="F30" i="3"/>
  <c r="F43" i="3"/>
  <c r="G40" i="3" s="1"/>
  <c r="F32" i="3" l="1"/>
  <c r="G7" i="3"/>
  <c r="G26" i="3"/>
  <c r="F35" i="3"/>
  <c r="F37" i="3"/>
  <c r="G42" i="3" l="1"/>
  <c r="G43" i="3" s="1"/>
  <c r="H40" i="3" s="1"/>
  <c r="G27" i="3"/>
  <c r="G29" i="3" s="1"/>
  <c r="G30" i="3"/>
  <c r="G37" i="3"/>
  <c r="G32" i="3" l="1"/>
  <c r="H7" i="3"/>
  <c r="G35" i="3"/>
  <c r="H26" i="3"/>
  <c r="H42" i="3" l="1"/>
  <c r="H43" i="3" s="1"/>
  <c r="I40" i="3" s="1"/>
  <c r="H27" i="3"/>
  <c r="H29" i="3" s="1"/>
  <c r="H35" i="3" l="1"/>
  <c r="H37" i="3"/>
  <c r="H30" i="3"/>
  <c r="I26" i="3"/>
  <c r="I42" i="3" l="1"/>
  <c r="I43" i="3" s="1"/>
  <c r="J40" i="3" s="1"/>
  <c r="I27" i="3"/>
  <c r="I35" i="3" s="1"/>
  <c r="H32" i="3"/>
  <c r="I7" i="3"/>
  <c r="I30" i="3" s="1"/>
  <c r="I37" i="3"/>
  <c r="J7" i="3" l="1"/>
  <c r="I32" i="3"/>
  <c r="J26" i="3"/>
  <c r="J42" i="3" l="1"/>
  <c r="J43" i="3" s="1"/>
  <c r="K40" i="3" s="1"/>
  <c r="J27" i="3"/>
  <c r="J29" i="3" s="1"/>
  <c r="J30" i="3"/>
  <c r="K7" i="3" l="1"/>
  <c r="J32" i="3"/>
  <c r="J35" i="3"/>
  <c r="J37" i="3"/>
  <c r="K26" i="3"/>
  <c r="K42" i="3" l="1"/>
  <c r="K43" i="3" s="1"/>
  <c r="L40" i="3" s="1"/>
  <c r="K27" i="3"/>
  <c r="K29" i="3" s="1"/>
  <c r="K35" i="3" s="1"/>
  <c r="K37" i="3"/>
  <c r="K30" i="3"/>
  <c r="L7" i="3" l="1"/>
  <c r="K32" i="3"/>
  <c r="L26" i="3"/>
  <c r="L42" i="3" l="1"/>
  <c r="L43" i="3" s="1"/>
  <c r="M40" i="3" s="1"/>
  <c r="L27" i="3"/>
  <c r="L29" i="3" s="1"/>
  <c r="L30" i="3"/>
  <c r="M7" i="3" l="1"/>
  <c r="L32" i="3"/>
  <c r="L35" i="3"/>
  <c r="L37" i="3"/>
  <c r="M26" i="3"/>
  <c r="M42" i="3" l="1"/>
  <c r="M43" i="3" s="1"/>
  <c r="N40" i="3" s="1"/>
  <c r="M27" i="3"/>
  <c r="M29" i="3" s="1"/>
  <c r="M35" i="3" s="1"/>
  <c r="M37" i="3"/>
  <c r="M30" i="3"/>
  <c r="N7" i="3" l="1"/>
  <c r="M32" i="3"/>
  <c r="N26" i="3"/>
  <c r="N42" i="3" l="1"/>
  <c r="N43" i="3" s="1"/>
  <c r="O40" i="3" s="1"/>
  <c r="N27" i="3"/>
  <c r="N29" i="3" s="1"/>
  <c r="N30" i="3" s="1"/>
  <c r="O7" i="3" l="1"/>
  <c r="N32" i="3"/>
  <c r="N35" i="3"/>
  <c r="N37" i="3"/>
  <c r="O26" i="3"/>
  <c r="O42" i="3" l="1"/>
  <c r="O27" i="3"/>
  <c r="P26" i="3"/>
  <c r="O29" i="3" l="1"/>
  <c r="P27" i="3"/>
  <c r="P42" i="3"/>
  <c r="O43" i="3"/>
  <c r="P43" i="3" s="1"/>
  <c r="O35" i="3" l="1"/>
  <c r="P29" i="3"/>
  <c r="O37" i="3"/>
  <c r="O30" i="3"/>
  <c r="P37" i="3" l="1"/>
  <c r="C20" i="4"/>
  <c r="C21" i="4"/>
  <c r="C22" i="4"/>
  <c r="O32" i="3"/>
  <c r="D20" i="4"/>
  <c r="P30" i="3"/>
  <c r="D21" i="4"/>
  <c r="D22" i="4"/>
  <c r="C11" i="4"/>
  <c r="P35" i="3"/>
  <c r="C12" i="4"/>
  <c r="C13" i="4" l="1"/>
  <c r="E22" i="4"/>
  <c r="E21" i="4"/>
  <c r="E20" i="4"/>
  <c r="C10" i="4"/>
  <c r="C8" i="4"/>
</calcChain>
</file>

<file path=xl/sharedStrings.xml><?xml version="1.0" encoding="utf-8"?>
<sst xmlns="http://schemas.openxmlformats.org/spreadsheetml/2006/main" count="409" uniqueCount="363">
  <si>
    <t>ASSUMPTIONS &amp; INPUTS – Apex CNC 13-Week Cash Flow</t>
  </si>
  <si>
    <t>Colour code: blue cells / blue font = inputs | grey cells = derived helper formulas. All amounts in EUR, gross of VAT unless stated. Dummy data for illustration.</t>
  </si>
  <si>
    <t>1. GLOBAL PARAMETERS</t>
  </si>
  <si>
    <t>Model Start Date (Monday of Week 1)</t>
  </si>
  <si>
    <t>Timeline rolls forward in steps of 'Days per Week'</t>
  </si>
  <si>
    <t>Starting Cash Balance (EUR)</t>
  </si>
  <si>
    <t>Freely available bank balance at start (no blocked accounts)</t>
  </si>
  <si>
    <t>Minimum Cash Target (EUR)</t>
  </si>
  <si>
    <t>Liquidity floor agreed with bank / shareholders (approx. 1 week of costs)</t>
  </si>
  <si>
    <t>VAT Rate (Umsatzsteuer)</t>
  </si>
  <si>
    <t>Applied to gross receipts and gross taxable disbursements</t>
  </si>
  <si>
    <t>VAT Share of Gross Amounts (derived)</t>
  </si>
  <si>
    <t>Days per Week</t>
  </si>
  <si>
    <t>Timeline step</t>
  </si>
  <si>
    <t>Opening VAT Liability (EUR)</t>
  </si>
  <si>
    <t>Accrued VAT from prior period, paid in the first remittance week</t>
  </si>
  <si>
    <t>A/R Collection Delay Scenario (weeks)</t>
  </si>
  <si>
    <t>Shifts every A/R receipt by n weeks (stress test)</t>
  </si>
  <si>
    <t>Burn Threshold for Runway Test (EUR / week)</t>
  </si>
  <si>
    <t>Runway is only computed if average burn exceeds this value</t>
  </si>
  <si>
    <t>2. A/R PIPELINE (open customer invoices)</t>
  </si>
  <si>
    <t>Customer</t>
  </si>
  <si>
    <t>Invoice Ref.</t>
  </si>
  <si>
    <t>Gross Amount (EUR, incl. VAT)</t>
  </si>
  <si>
    <t>Collection Probability</t>
  </si>
  <si>
    <t>Expected Cash-In (EUR)</t>
  </si>
  <si>
    <t>Planned Payment Week (1-13)</t>
  </si>
  <si>
    <t>Effective Week (incl. delay)</t>
  </si>
  <si>
    <t>Collection Risk Note</t>
  </si>
  <si>
    <t>Kessler Antriebstechnik AG</t>
  </si>
  <si>
    <t>INV-26-0871</t>
  </si>
  <si>
    <t>Large OEM; ERP migration delay, pays reliably</t>
  </si>
  <si>
    <t>Müller &amp; Söhne Maschinenbau</t>
  </si>
  <si>
    <t>INV-26-0874</t>
  </si>
  <si>
    <t>Promised payment run confirmed in writing</t>
  </si>
  <si>
    <t>Nordwerk Automotive GmbH</t>
  </si>
  <si>
    <t>INV-26-0809</t>
  </si>
  <si>
    <t>90+ days overdue; quality claim partly disputed</t>
  </si>
  <si>
    <t>Alpha Hydraulik GmbH</t>
  </si>
  <si>
    <t>INV-26-0880</t>
  </si>
  <si>
    <t>Skonto offer accepted</t>
  </si>
  <si>
    <t>Rheintal Pumpen AG</t>
  </si>
  <si>
    <t>INV-26-0852</t>
  </si>
  <si>
    <t>Slow payer, no dispute</t>
  </si>
  <si>
    <t>Südstahl Komponenten GmbH</t>
  </si>
  <si>
    <t>INV-26-0831</t>
  </si>
  <si>
    <t>Customer under liquidity watch</t>
  </si>
  <si>
    <t>Frankenlift Systeme GmbH</t>
  </si>
  <si>
    <t>INV-26-0866</t>
  </si>
  <si>
    <t>Standard 60-day terms</t>
  </si>
  <si>
    <t>Baltic Offshore Parts GmbH</t>
  </si>
  <si>
    <t>INV-26-0822</t>
  </si>
  <si>
    <t>Open quality complaint; set-off risk</t>
  </si>
  <si>
    <t>Zeller Medizintechnik GmbH</t>
  </si>
  <si>
    <t>INV-26-0884</t>
  </si>
  <si>
    <t>Prime credit, pays on due date</t>
  </si>
  <si>
    <t>Bavaria Robotics GmbH</t>
  </si>
  <si>
    <t>INV-26-0859</t>
  </si>
  <si>
    <t>Milestone approval pending</t>
  </si>
  <si>
    <t>Hansa Agrartechnik AG</t>
  </si>
  <si>
    <t>INV-26-0848</t>
  </si>
  <si>
    <t>Seasonal cash squeeze at customer</t>
  </si>
  <si>
    <t>Donau Luftfahrt-Zulieferer GmbH</t>
  </si>
  <si>
    <t>INV-26-0890</t>
  </si>
  <si>
    <t>Certified supplier, long payment cycle</t>
  </si>
  <si>
    <t>TechnoDrive Europe GmbH</t>
  </si>
  <si>
    <t>INV-26-0893</t>
  </si>
  <si>
    <t>Standard terms</t>
  </si>
  <si>
    <t>Weser Schienenfahrzeuge GmbH</t>
  </si>
  <si>
    <t>INV-26-0897</t>
  </si>
  <si>
    <t>Public tender client; slow approvals</t>
  </si>
  <si>
    <t>TOTAL A/R PIPELINE</t>
  </si>
  <si>
    <t>3. OTHER RECEIPTS &amp; FINANCING (weekly schedule, EUR)</t>
  </si>
  <si>
    <t>Item</t>
  </si>
  <si>
    <t>Unit</t>
  </si>
  <si>
    <t>Collections – New Invoices &amp; Prepayments (risk-adj.)</t>
  </si>
  <si>
    <t>EUR per week</t>
  </si>
  <si>
    <t>Shareholder Bridge Loan (Gesellschafterdarlehen)</t>
  </si>
  <si>
    <t>4. VENDOR A/P PIPELINE (open payables &amp; planned payment plan)</t>
  </si>
  <si>
    <t>Vendor</t>
  </si>
  <si>
    <t>Category</t>
  </si>
  <si>
    <t>Open Gross Amount (EUR)</t>
  </si>
  <si>
    <t>% Paid per Payment Plan</t>
  </si>
  <si>
    <t>Planned Cash-Out (EUR)</t>
  </si>
  <si>
    <t>Negotiation Status</t>
  </si>
  <si>
    <t>Stahlhandel Brandt GmbH (Tranche 1)</t>
  </si>
  <si>
    <t>Raw Material – Critical</t>
  </si>
  <si>
    <t>Standstill: 60% now to keep steel flowing</t>
  </si>
  <si>
    <t>Stahlhandel Brandt GmbH (Tranche 2)</t>
  </si>
  <si>
    <t>Balance after shareholder loan</t>
  </si>
  <si>
    <t>Aluminium Großhandel Krämer</t>
  </si>
  <si>
    <t>Raw Material</t>
  </si>
  <si>
    <t>Credit limit withdrawn; pay in full</t>
  </si>
  <si>
    <t>Hartmetall Werkzeuge GmbH</t>
  </si>
  <si>
    <t>Tooling – Critical</t>
  </si>
  <si>
    <t>Delivery stop threatened</t>
  </si>
  <si>
    <t>Kühlschmierstoffe Berger KG</t>
  </si>
  <si>
    <t>Consumables</t>
  </si>
  <si>
    <t>Small supplier, no discount</t>
  </si>
  <si>
    <t>Härterei Schwaben GmbH</t>
  </si>
  <si>
    <t>Subcontract – Critical</t>
  </si>
  <si>
    <t>Sole-source heat treatment</t>
  </si>
  <si>
    <t>Oberflächentechnik Wagner GmbH (T1)</t>
  </si>
  <si>
    <t>Subcontract</t>
  </si>
  <si>
    <t>Instalment plan agreed</t>
  </si>
  <si>
    <t>Oberflächentechnik Wagner GmbH (T2)</t>
  </si>
  <si>
    <t>CNC-Service Maschinenwartung GmbH</t>
  </si>
  <si>
    <t>Maintenance – Critical</t>
  </si>
  <si>
    <t>Service contract, machine uptime</t>
  </si>
  <si>
    <t>Spedition Nordlicht Logistik GmbH</t>
  </si>
  <si>
    <t>Logistics</t>
  </si>
  <si>
    <t>30-day extension granted</t>
  </si>
  <si>
    <t>Zeitarbeit Personalpool GmbH</t>
  </si>
  <si>
    <t>Temp Labour</t>
  </si>
  <si>
    <t>Joint-liability risk, priority payment</t>
  </si>
  <si>
    <t>Messtechnik Prüfer GmbH</t>
  </si>
  <si>
    <t>Calibration</t>
  </si>
  <si>
    <t>50% paid, 50% deferred beyond horizon</t>
  </si>
  <si>
    <t>Verpackung &amp; Palettenservice Roth</t>
  </si>
  <si>
    <t>Packaging</t>
  </si>
  <si>
    <t>Standard</t>
  </si>
  <si>
    <t>Druckluft &amp; Kompressoren Haas</t>
  </si>
  <si>
    <t>Maintenance</t>
  </si>
  <si>
    <t>Deferred to Week 11</t>
  </si>
  <si>
    <t>Stahlhandel Brandt – New Orders</t>
  </si>
  <si>
    <t>Raw Material – New</t>
  </si>
  <si>
    <t>Cash in advance (Vorkasse)</t>
  </si>
  <si>
    <t>Hartmetall Werkzeuge – New Orders</t>
  </si>
  <si>
    <t>Tooling – New</t>
  </si>
  <si>
    <t>Cash on delivery</t>
  </si>
  <si>
    <t>Aluminium Krämer – New Orders</t>
  </si>
  <si>
    <t>Prepayment</t>
  </si>
  <si>
    <t>Stahlhandel Brandt – New Orders (2)</t>
  </si>
  <si>
    <t>Härterei Schwaben – New Orders</t>
  </si>
  <si>
    <t>Subcontract – New</t>
  </si>
  <si>
    <t>Payment on delivery</t>
  </si>
  <si>
    <t>Aluminium Krämer – New Orders (2)</t>
  </si>
  <si>
    <t>TOTAL VENDOR A/P PIPELINE</t>
  </si>
  <si>
    <t>5. RECURRING CASH OUTFLOWS – payment schedule (1 = payment event in week, 0 = none)</t>
  </si>
  <si>
    <t>Amount per Payment Event (EUR, gross)</t>
  </si>
  <si>
    <t>Net Wages (Netto-Löhne &amp; Gehälter)</t>
  </si>
  <si>
    <t>Payroll Taxes &amp; Social Security (LSt / SV)</t>
  </si>
  <si>
    <t>Rent – Production Hall &amp; Office</t>
  </si>
  <si>
    <t>CNC Machine Leasing Instalments</t>
  </si>
  <si>
    <t>Energy &amp; Utilities</t>
  </si>
  <si>
    <t>Insurance Premiums (VAT-exempt)</t>
  </si>
  <si>
    <t>IT, Telecom &amp; Other G&amp;A</t>
  </si>
  <si>
    <t>Restructuring Advisors (CRO / Legal)</t>
  </si>
  <si>
    <t>Bank Debt Service (interest only, forbearance)</t>
  </si>
  <si>
    <t>VAT Remittance to Finanzamt (calculated)</t>
  </si>
  <si>
    <t>n/a – calculated in 13WCF</t>
  </si>
  <si>
    <t>13-WEEK DIRECT CASH FLOW – Apex CNC Fertigungstechnik GmbH (EUR)</t>
  </si>
  <si>
    <t>Calculation sheet only: every driver links to 'Assumptions'. Direct method – hard liquidity, no P&amp;L items. Receipts and disbursements are gross of VAT.</t>
  </si>
  <si>
    <t>Week</t>
  </si>
  <si>
    <t>Source / Basis</t>
  </si>
  <si>
    <t>Week Beginning (Monday)</t>
  </si>
  <si>
    <t>Start date + days per week</t>
  </si>
  <si>
    <t>13-Wk Total</t>
  </si>
  <si>
    <t>Opening Cash Balance</t>
  </si>
  <si>
    <t>Week 1: Starting Cash; then prior closing</t>
  </si>
  <si>
    <t>CASH RECEIPTS</t>
  </si>
  <si>
    <t>Collections – A/R Pipeline (risk-adjusted)</t>
  </si>
  <si>
    <t>SUMIF on Effective Week x Expected Cash-In</t>
  </si>
  <si>
    <t>Collections – New Invoices &amp; Prepayments</t>
  </si>
  <si>
    <t>Assumptions §3</t>
  </si>
  <si>
    <t>Shareholder Bridge Loan (Financing Inflow)</t>
  </si>
  <si>
    <t>TOTAL RECEIPTS</t>
  </si>
  <si>
    <t>Sum of receipts</t>
  </si>
  <si>
    <t>CASH DISBURSEMENTS</t>
  </si>
  <si>
    <t>Vendor A/P Payments (payment plan)</t>
  </si>
  <si>
    <t>SUMIF on Planned Week x Planned Cash-Out</t>
  </si>
  <si>
    <t>Net Wages</t>
  </si>
  <si>
    <t>Amount x payment flag (Assumptions §5)</t>
  </si>
  <si>
    <t>Payroll Taxes &amp; Social Security</t>
  </si>
  <si>
    <t>CNC Machine Leasing</t>
  </si>
  <si>
    <t>Insurance Premiums</t>
  </si>
  <si>
    <t>Bank Debt Service (interest only)</t>
  </si>
  <si>
    <t>VAT Remittance (Finanzamt)</t>
  </si>
  <si>
    <t>Payment flag x opening VAT liability</t>
  </si>
  <si>
    <t>TOTAL DISBURSEMENTS</t>
  </si>
  <si>
    <t>Sum of disbursements</t>
  </si>
  <si>
    <t>NET CASH FLOW</t>
  </si>
  <si>
    <t>Total Receipts – Total Disbursements</t>
  </si>
  <si>
    <t>CLOSING CASH BALANCE</t>
  </si>
  <si>
    <t>Opening + Net Cash Flow</t>
  </si>
  <si>
    <t>Minimum Cash Target</t>
  </si>
  <si>
    <t>Assumptions – Global Parameters</t>
  </si>
  <si>
    <t>Headroom / (Shortfall) vs. Minimum Target</t>
  </si>
  <si>
    <t>Closing – Minimum Target</t>
  </si>
  <si>
    <t>MEMO: OPERATING BURN &amp; A/R SCENARIO</t>
  </si>
  <si>
    <t>Net Cash Flow excl. Financing Inflows</t>
  </si>
  <si>
    <t>Net Cash Flow – Shareholder Loan</t>
  </si>
  <si>
    <t>Scenario: A/R Receipts at Gross (100% collection)</t>
  </si>
  <si>
    <t>SUMIF on Effective Week x Gross Amount</t>
  </si>
  <si>
    <t>Scenario: Closing Cash – Gross A/R (excl. VAT timing)</t>
  </si>
  <si>
    <t>Prior scenario cash + Net CF + (Gross – Risk-adj. A/R)</t>
  </si>
  <si>
    <t>MEMO: VAT LIABILITY ROLL-FORWARD</t>
  </si>
  <si>
    <t>VAT Liability – Opening</t>
  </si>
  <si>
    <t>Week 1: Assumptions; then prior closing</t>
  </si>
  <si>
    <t>Net VAT Accrued (output – input VAT)</t>
  </si>
  <si>
    <t>(Taxable receipts – taxable disb.) x VAT share</t>
  </si>
  <si>
    <t>VAT Paid to Finanzamt</t>
  </si>
  <si>
    <t>Link to VAT Remittance</t>
  </si>
  <si>
    <t>VAT Liability – Closing</t>
  </si>
  <si>
    <t>Opening + Accrued – Paid</t>
  </si>
  <si>
    <t>13WCF DASHBOARD – Apex CNC Fertigungstechnik GmbH</t>
  </si>
  <si>
    <t>All figures are live links to '13WCF' and 'Assumptions' (EUR).</t>
  </si>
  <si>
    <t>KEY PERFORMANCE INDICATORS (13 WEEKS)</t>
  </si>
  <si>
    <t>Starting Cash</t>
  </si>
  <si>
    <t>Opening balance of Week 1</t>
  </si>
  <si>
    <t>Ending Cash (Week 13)</t>
  </si>
  <si>
    <t>Closing balance of last week</t>
  </si>
  <si>
    <t>Lowest Cash Point</t>
  </si>
  <si>
    <t>Minimum weekly closing balance</t>
  </si>
  <si>
    <t>Week of Lowest Cash Point</t>
  </si>
  <si>
    <t>Week in which the low point occurs</t>
  </si>
  <si>
    <t>Liquidity floor from Assumptions</t>
  </si>
  <si>
    <t>Headroom / (Shortfall) at Low Point</t>
  </si>
  <si>
    <t>Lowest cash minus minimum target</t>
  </si>
  <si>
    <t>Weeks Below Minimum Target</t>
  </si>
  <si>
    <t>Number of weeks flagged red in 13WCF</t>
  </si>
  <si>
    <t>Avg Weekly Burn Rate (excl. financing)</t>
  </si>
  <si>
    <t>Average weekly net outflow before shareholder loan</t>
  </si>
  <si>
    <t>Cash Runway beyond Week 13 (weeks)</t>
  </si>
  <si>
    <t>Ending cash / average weekly burn</t>
  </si>
  <si>
    <t>Total Financing Injected</t>
  </si>
  <si>
    <t>Shareholder bridge loan tranches</t>
  </si>
  <si>
    <t>A/R SCENARIO: GROSS vs. RISK-ADJUSTED</t>
  </si>
  <si>
    <t>Metric</t>
  </si>
  <si>
    <t>Gross A/R (100% collection)</t>
  </si>
  <si>
    <t>Risk-Adjusted A/R (Base Case)</t>
  </si>
  <si>
    <t>Delta (Gross – Risk-Adj.)</t>
  </si>
  <si>
    <t>A/R Pipeline Value</t>
  </si>
  <si>
    <t>A/R Collected within 13 Weeks</t>
  </si>
  <si>
    <t>Implied Risk Haircut on A/R Pipeline (%)</t>
  </si>
  <si>
    <t>Note: 'Gross A/R' assumes every invoice is collected in full in its planned week; VAT timing effects are excluded from the scenario cash line.</t>
  </si>
  <si>
    <t>APEX CNC FERTIGUNGSTECHNIK GMBH – Company Factsheet</t>
  </si>
  <si>
    <t>Restructuring &amp; Turnaround | Strictly confidential | Illustrative dummy data</t>
  </si>
  <si>
    <t>1. COMPANY PROFILE</t>
  </si>
  <si>
    <t>Legal Entity</t>
  </si>
  <si>
    <t>Apex CNC Fertigungstechnik GmbH, Bavaria (Germany) – owner-managed Mittelstand contract manufacturer</t>
  </si>
  <si>
    <t>Business Model</t>
  </si>
  <si>
    <t>Precision CNC milling &amp; turning (5-axis), series and prototype parts for automotive, hydraulics, medical technology and robotics</t>
  </si>
  <si>
    <t>Size</t>
  </si>
  <si>
    <t>Approx. EUR 5.0M revenue (LTM) | 38 FTE | 14 CNC machining centres (9 leased)</t>
  </si>
  <si>
    <t>Situation</t>
  </si>
  <si>
    <t>Severe liquidity crisis: delayed customer payments, supplier credit withdrawal, bank forbearance. The 13WCF is the steering tool for the turnaround.</t>
  </si>
  <si>
    <t>Model Basis</t>
  </si>
  <si>
    <t>Direct cash flow method, weekly buckets, EUR, gross of VAT. All inputs on sheet 'Assumptions'. Figures are illustrative.</t>
  </si>
  <si>
    <t>2. CRISIS ORIGINS</t>
  </si>
  <si>
    <t>Crisis Driver</t>
  </si>
  <si>
    <t>Description</t>
  </si>
  <si>
    <t>Est. Cash Impact (EUR)</t>
  </si>
  <si>
    <t>Timeline</t>
  </si>
  <si>
    <t>Customer payment delays</t>
  </si>
  <si>
    <t>Top-3 automotive customers stretched payment terms; DSO rose from 48 to 96 days after a customer ERP migration and disputed quality claims.</t>
  </si>
  <si>
    <t>Since Q1 2026</t>
  </si>
  <si>
    <t>Supplier credit squeeze</t>
  </si>
  <si>
    <t>Credit insurers withdrew limits after a negative rating; key suppliers moved to prepayment / cash-on-delivery and threaten delivery stops.</t>
  </si>
  <si>
    <t>Since Q2 2026</t>
  </si>
  <si>
    <t>Energy &amp; input cost shock</t>
  </si>
  <si>
    <t>Electricity contract reset at roughly twice the previous price; surcharges not enforceable under fixed-price framework agreements.</t>
  </si>
  <si>
    <t>Since Q4 2025</t>
  </si>
  <si>
    <t>Machine downtime</t>
  </si>
  <si>
    <t>5-axis machining centre failed for five weeks: lost output, expedited repair and rush subcontracting.</t>
  </si>
  <si>
    <t>Q2 2026</t>
  </si>
  <si>
    <t>Bank covenant breach</t>
  </si>
  <si>
    <t>Equity ratio and DSCR covenants breached; house bank moved to forbearance (interest only, no new credit lines), fees and tighter reporting.</t>
  </si>
  <si>
    <t>Since Q3 2026</t>
  </si>
  <si>
    <t>Total estimated liquidity drain</t>
  </si>
  <si>
    <t>3. CAP TABLE &amp; DEBT STACK</t>
  </si>
  <si>
    <t>Share Capital (Stammkapital, EUR)</t>
  </si>
  <si>
    <t>Shareholder</t>
  </si>
  <si>
    <t>Role</t>
  </si>
  <si>
    <t>Ownership %</t>
  </si>
  <si>
    <t>Nominal Capital (EUR)</t>
  </si>
  <si>
    <t>Key Terms</t>
  </si>
  <si>
    <t>Dr. Klaus Hellwig</t>
  </si>
  <si>
    <t>Founder / Managing Director</t>
  </si>
  <si>
    <t>Shares pledged to house bank</t>
  </si>
  <si>
    <t>Anja Hellwig-Brandl</t>
  </si>
  <si>
    <t>Co-founder / MD Finance</t>
  </si>
  <si>
    <t>Voting pool with founder</t>
  </si>
  <si>
    <t>Regional Mittelstand Fund (MBG)</t>
  </si>
  <si>
    <t>Silent partner</t>
  </si>
  <si>
    <t>Veto right on asset sales</t>
  </si>
  <si>
    <t>Employee Participation Pool</t>
  </si>
  <si>
    <t>Management &amp; key staff</t>
  </si>
  <si>
    <t>No voting rights</t>
  </si>
  <si>
    <t>Total</t>
  </si>
  <si>
    <t>Creditor</t>
  </si>
  <si>
    <t>Instrument</t>
  </si>
  <si>
    <t>Outstanding (EUR)</t>
  </si>
  <si>
    <t>Status / Terms</t>
  </si>
  <si>
    <t>House bank (Sparkasse)</t>
  </si>
  <si>
    <t>Term loan &amp; overdraft</t>
  </si>
  <si>
    <t>Forbearance; interest only; no new lines</t>
  </si>
  <si>
    <t>Promotional bank</t>
  </si>
  <si>
    <t>Development loan</t>
  </si>
  <si>
    <t>Amortisation standstill until Q1 2027</t>
  </si>
  <si>
    <t>Leasing companies (9 machines)</t>
  </si>
  <si>
    <t>Financial leasing</t>
  </si>
  <si>
    <t>Rates continue as scheduled (see Assumptions §5)</t>
  </si>
  <si>
    <t>Shareholders</t>
  </si>
  <si>
    <t>New bridge loan (this model)</t>
  </si>
  <si>
    <t>Subordinated; tranches in Weeks 3 and 8</t>
  </si>
  <si>
    <t>Total debt incl. new shareholder loan</t>
  </si>
  <si>
    <t>4. SUPPLIER BACKLOG (critical suppliers; amounts linked to Assumptions §4)</t>
  </si>
  <si>
    <t>Supplier</t>
  </si>
  <si>
    <t>Open Gross (EUR)</t>
  </si>
  <si>
    <t>Days Overdue</t>
  </si>
  <si>
    <t>Supplier Stance</t>
  </si>
  <si>
    <t>Treatment in 13WCF</t>
  </si>
  <si>
    <t>Stahlhandel Brandt GmbH</t>
  </si>
  <si>
    <t>Threatens delivery stop</t>
  </si>
  <si>
    <t>60% in Week 2, 40% in Week 7</t>
  </si>
  <si>
    <t>Demands cash on delivery</t>
  </si>
  <si>
    <t>Paid in full in Week 3</t>
  </si>
  <si>
    <t>Sole source; cooperative</t>
  </si>
  <si>
    <t>Paid in full in Week 2</t>
  </si>
  <si>
    <t>Credit limit withdrawn</t>
  </si>
  <si>
    <t>Paid in full in Week 4</t>
  </si>
  <si>
    <t>Joint-liability risk</t>
  </si>
  <si>
    <t>Oberflächentechnik Wagner GmbH</t>
  </si>
  <si>
    <t>Accepted instalments</t>
  </si>
  <si>
    <t>50% Week 6 / 50% Week 10</t>
  </si>
  <si>
    <t>Service stop possible</t>
  </si>
  <si>
    <t>Paid in full in Week 1</t>
  </si>
  <si>
    <t>Total critical supplier backlog</t>
  </si>
  <si>
    <t>5. TURNAROUND INITIATIVES</t>
  </si>
  <si>
    <t>Initiative</t>
  </si>
  <si>
    <t>Owner</t>
  </si>
  <si>
    <t>Target 13-Wk Cash Impact (EUR)</t>
  </si>
  <si>
    <t>Timing</t>
  </si>
  <si>
    <t>Status</t>
  </si>
  <si>
    <t>Collections task force</t>
  </si>
  <si>
    <t>CFO / Sales</t>
  </si>
  <si>
    <t>Weeks 1-6</t>
  </si>
  <si>
    <t>In progress</t>
  </si>
  <si>
    <t>Daily dunning of overdue invoices; early-payment discount offers to top debtors</t>
  </si>
  <si>
    <t>Supplier standstill &amp; payment plans</t>
  </si>
  <si>
    <t>CRO</t>
  </si>
  <si>
    <t>Weeks 1-8</t>
  </si>
  <si>
    <t>In negotiation</t>
  </si>
  <si>
    <t>Instalment plans with critical suppliers; cash in advance only for new orders</t>
  </si>
  <si>
    <t>Shareholder bridge loan</t>
  </si>
  <si>
    <t>Weeks 3 &amp; 8</t>
  </si>
  <si>
    <t>Term sheet signed</t>
  </si>
  <si>
    <t>Subordinated loan to cover the liquidity trough around payroll weeks</t>
  </si>
  <si>
    <t>Energy surcharge &amp; price renegotiation</t>
  </si>
  <si>
    <t>Sales / MD</t>
  </si>
  <si>
    <t>Weeks 5-13</t>
  </si>
  <si>
    <t>Planned</t>
  </si>
  <si>
    <t>Surcharge clauses for new orders; renegotiate framework prices</t>
  </si>
  <si>
    <t>Inventory &amp; WIP release</t>
  </si>
  <si>
    <t>Operations</t>
  </si>
  <si>
    <t>Weeks 2-10</t>
  </si>
  <si>
    <t>Invoice finished WIP faster; sell slow-moving raw material</t>
  </si>
  <si>
    <t>Capex freeze &amp; lease renegotiation</t>
  </si>
  <si>
    <t>CFO</t>
  </si>
  <si>
    <t>Weeks 4-13</t>
  </si>
  <si>
    <t>Stop non-critical capex; seek rate deferrals from leasing companies</t>
  </si>
  <si>
    <t>Note: initiative impacts are indicative targets; the base case cash flow is driven solely by the 'Assumptions' 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</si>
</sst>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(#,##0\);&quot;-&quot;"/>
    <numFmt numFmtId="165" formatCode="dd\.mm\.yyyy"/>
    <numFmt numFmtId="166" formatCode="0.0%"/>
    <numFmt numFmtId="167" formatCode="&quot;W&quot;0"/>
    <numFmt numFmtId="168" formatCode="dd\.mm\."/>
    <numFmt numFmtId="169" formatCode="&quot;€&quot;\ #,##0;\(&quot;€&quot;\ #,##0\)"/>
    <numFmt numFmtId="170" formatCode="0.0"/>
  </numFmts>
  <fonts count="11" x14ac:knownFonts="1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10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9"/>
      <color rgb="FF7F7F7F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9" fontId="5" fillId="0" borderId="1" xfId="0" applyNumberFormat="1" applyFont="1" applyBorder="1" applyAlignment="1">
      <alignment horizontal="center" vertical="center"/>
    </xf>
    <xf numFmtId="9" fontId="4" fillId="3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5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vertical="center"/>
    </xf>
    <xf numFmtId="9" fontId="7" fillId="5" borderId="1" xfId="0" applyNumberFormat="1" applyFont="1" applyFill="1" applyBorder="1" applyAlignment="1">
      <alignment vertical="center"/>
    </xf>
    <xf numFmtId="10" fontId="5" fillId="3" borderId="1" xfId="0" applyNumberFormat="1" applyFont="1" applyFill="1" applyBorder="1" applyAlignment="1">
      <alignment vertical="center"/>
    </xf>
    <xf numFmtId="1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1" fontId="5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vertical="center"/>
    </xf>
    <xf numFmtId="167" fontId="6" fillId="4" borderId="1" xfId="0" applyNumberFormat="1" applyFont="1" applyFill="1" applyBorder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 indent="1"/>
    </xf>
    <xf numFmtId="0" fontId="8" fillId="6" borderId="0" xfId="0" applyFont="1" applyFill="1" applyAlignment="1">
      <alignment vertical="center"/>
    </xf>
    <xf numFmtId="168" fontId="9" fillId="6" borderId="0" xfId="0" applyNumberFormat="1" applyFont="1" applyFill="1" applyAlignment="1">
      <alignment horizontal="center" vertical="center"/>
    </xf>
    <xf numFmtId="0" fontId="4" fillId="6" borderId="2" xfId="0" applyFont="1" applyFill="1" applyBorder="1" applyAlignment="1">
      <alignment vertical="center"/>
    </xf>
    <xf numFmtId="164" fontId="4" fillId="6" borderId="2" xfId="0" applyNumberFormat="1" applyFont="1" applyFill="1" applyBorder="1" applyAlignment="1">
      <alignment vertical="center"/>
    </xf>
    <xf numFmtId="164" fontId="10" fillId="6" borderId="0" xfId="0" applyNumberFormat="1" applyFont="1" applyFill="1" applyAlignment="1">
      <alignment vertical="center"/>
    </xf>
    <xf numFmtId="0" fontId="4" fillId="6" borderId="3" xfId="0" applyFont="1" applyFill="1" applyBorder="1" applyAlignment="1">
      <alignment vertical="center"/>
    </xf>
    <xf numFmtId="164" fontId="4" fillId="6" borderId="3" xfId="0" applyNumberFormat="1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70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</cellXfs>
  <cellStyles count="1">
    <cellStyle name="Standard" xfId="0" builtinId="0"/>
  </cellStyles>
  <dxfs count="4"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aseline="0">
                <a:solidFill>
                  <a:srgbClr val="1F3864"/>
                </a:solidFill>
              </a:defRPr>
            </a:pPr>
            <a:r>
              <a:rPr lang="en-US" sz="1200" baseline="0">
                <a:solidFill>
                  <a:srgbClr val="1F3864"/>
                </a:solidFill>
              </a:rPr>
              <a:t>Closing Cash Balance vs. Minimum Cash Target (EUR)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'13WCF'!$A$30</c:f>
              <c:strCache>
                <c:ptCount val="1"/>
                <c:pt idx="0">
                  <c:v>CLOSING CASH BALANCE</c:v>
                </c:pt>
              </c:strCache>
            </c:strRef>
          </c:tx>
          <c:spPr>
            <a:ln w="34925">
              <a:solidFill>
                <a:srgbClr val="1F3864"/>
              </a:solidFill>
            </a:ln>
          </c:spPr>
          <c:marker>
            <c:symbol val="circle"/>
            <c:size val="6"/>
            <c:spPr>
              <a:solidFill>
                <a:srgbClr val="1F3864"/>
              </a:solidFill>
              <a:ln>
                <a:solidFill>
                  <a:srgbClr val="1F3864"/>
                </a:solidFill>
              </a:ln>
            </c:spPr>
          </c:marker>
          <c:cat>
            <c:numRef>
              <c:f>'13WCF'!$C$4:$O$4</c:f>
              <c:numCache>
                <c:formatCode>"W"0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'13WCF'!$C$30:$O$30</c:f>
              <c:numCache>
                <c:formatCode>#,##0;\(#,##0\);"-"</c:formatCode>
                <c:ptCount val="13"/>
                <c:pt idx="0">
                  <c:v>108535</c:v>
                </c:pt>
                <c:pt idx="1">
                  <c:v>73070</c:v>
                </c:pt>
                <c:pt idx="2">
                  <c:v>94834</c:v>
                </c:pt>
                <c:pt idx="3">
                  <c:v>130494</c:v>
                </c:pt>
                <c:pt idx="4">
                  <c:v>83361.008403361338</c:v>
                </c:pt>
                <c:pt idx="5">
                  <c:v>98391.008403361338</c:v>
                </c:pt>
                <c:pt idx="6">
                  <c:v>156491.00840336134</c:v>
                </c:pt>
                <c:pt idx="7">
                  <c:v>76091.008403361338</c:v>
                </c:pt>
                <c:pt idx="8">
                  <c:v>68905.252100840327</c:v>
                </c:pt>
                <c:pt idx="9">
                  <c:v>115070.25210084033</c:v>
                </c:pt>
                <c:pt idx="10">
                  <c:v>139620.25210084033</c:v>
                </c:pt>
                <c:pt idx="11">
                  <c:v>71560.252100840327</c:v>
                </c:pt>
                <c:pt idx="12">
                  <c:v>82060.252100840327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9E-1840-9680-5D22B5D0F4BA}"/>
            </c:ext>
          </c:extLst>
        </c:ser>
        <c:ser>
          <c:idx val="1"/>
          <c:order val="1"/>
          <c:tx>
            <c:strRef>
              <c:f>'13WCF'!$A$31</c:f>
              <c:strCache>
                <c:ptCount val="1"/>
                <c:pt idx="0">
                  <c:v>Minimum Cash Target</c:v>
                </c:pt>
              </c:strCache>
            </c:strRef>
          </c:tx>
          <c:spPr>
            <a:ln w="28575"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'13WCF'!$C$4:$O$4</c:f>
              <c:numCache>
                <c:formatCode>"W"0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'13WCF'!$C$31:$O$31</c:f>
              <c:numCache>
                <c:formatCode>#,##0;\(#,##0\);"-"</c:formatCode>
                <c:ptCount val="13"/>
                <c:pt idx="0">
                  <c:v>75000</c:v>
                </c:pt>
                <c:pt idx="1">
                  <c:v>75000</c:v>
                </c:pt>
                <c:pt idx="2">
                  <c:v>75000</c:v>
                </c:pt>
                <c:pt idx="3">
                  <c:v>75000</c:v>
                </c:pt>
                <c:pt idx="4">
                  <c:v>75000</c:v>
                </c:pt>
                <c:pt idx="5">
                  <c:v>75000</c:v>
                </c:pt>
                <c:pt idx="6">
                  <c:v>75000</c:v>
                </c:pt>
                <c:pt idx="7">
                  <c:v>75000</c:v>
                </c:pt>
                <c:pt idx="8">
                  <c:v>75000</c:v>
                </c:pt>
                <c:pt idx="9">
                  <c:v>75000</c:v>
                </c:pt>
                <c:pt idx="10">
                  <c:v>75000</c:v>
                </c:pt>
                <c:pt idx="11">
                  <c:v>75000</c:v>
                </c:pt>
                <c:pt idx="12">
                  <c:v>75000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9E-1840-9680-5D22B5D0F4BA}"/>
            </c:ext>
          </c:extLst>
        </c:ser>
        <c:ser>
          <c:idx val="2"/>
          <c:order val="2"/>
          <c:tx>
            <c:strRef>
              <c:f>'13WCF'!$A$37</c:f>
              <c:strCache>
                <c:ptCount val="1"/>
                <c:pt idx="0">
                  <c:v>Scenario: Closing Cash – Gross A/R (excl. VAT timing)</c:v>
                </c:pt>
              </c:strCache>
            </c:strRef>
          </c:tx>
          <c:spPr>
            <a:ln w="22225">
              <a:solidFill>
                <a:srgbClr val="7F7F7F"/>
              </a:solidFill>
              <a:prstDash val="sysDot"/>
            </a:ln>
          </c:spPr>
          <c:marker>
            <c:symbol val="none"/>
          </c:marker>
          <c:cat>
            <c:numRef>
              <c:f>'13WCF'!$C$4:$O$4</c:f>
              <c:numCache>
                <c:formatCode>"W"0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'13WCF'!$C$37:$O$37</c:f>
              <c:numCache>
                <c:formatCode>#,##0;\(#,##0\);"-"</c:formatCode>
                <c:ptCount val="13"/>
                <c:pt idx="0">
                  <c:v>116900</c:v>
                </c:pt>
                <c:pt idx="1">
                  <c:v>87360</c:v>
                </c:pt>
                <c:pt idx="2">
                  <c:v>121260</c:v>
                </c:pt>
                <c:pt idx="3">
                  <c:v>199760</c:v>
                </c:pt>
                <c:pt idx="4">
                  <c:v>157387.00840336134</c:v>
                </c:pt>
                <c:pt idx="5">
                  <c:v>208937.00840336134</c:v>
                </c:pt>
                <c:pt idx="6">
                  <c:v>283577.00840336131</c:v>
                </c:pt>
                <c:pt idx="7">
                  <c:v>230677.00840336131</c:v>
                </c:pt>
                <c:pt idx="8">
                  <c:v>238266.2521008403</c:v>
                </c:pt>
                <c:pt idx="9">
                  <c:v>295216.25210084033</c:v>
                </c:pt>
                <c:pt idx="10">
                  <c:v>324716.25210084033</c:v>
                </c:pt>
                <c:pt idx="11">
                  <c:v>275516.25210084033</c:v>
                </c:pt>
                <c:pt idx="12">
                  <c:v>286016.25210084033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9E-1840-9680-5D22B5D0F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0001"/>
        <c:axId val="50010002"/>
      </c:lineChart>
      <c:catAx>
        <c:axId val="50010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Week</a:t>
                </a:r>
              </a:p>
            </c:rich>
          </c:tx>
          <c:overlay val="0"/>
        </c:title>
        <c:numFmt formatCode="&quot;W&quot;0" sourceLinked="0"/>
        <c:majorTickMark val="out"/>
        <c:minorTickMark val="none"/>
        <c:tickLblPos val="nextTo"/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crossAx val="50010001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aseline="0">
                <a:solidFill>
                  <a:srgbClr val="1F3864"/>
                </a:solidFill>
              </a:defRPr>
            </a:pPr>
            <a:r>
              <a:rPr lang="en-US" sz="1200" baseline="0">
                <a:solidFill>
                  <a:srgbClr val="1F3864"/>
                </a:solidFill>
              </a:rPr>
              <a:t>Weekly Cash Inflows vs. Outflows (EUR)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'13WCF'!$A$13</c:f>
              <c:strCache>
                <c:ptCount val="1"/>
                <c:pt idx="0">
                  <c:v>TOTAL RECEIPTS</c:v>
                </c:pt>
              </c:strCache>
            </c:strRef>
          </c:tx>
          <c:spPr>
            <a:solidFill>
              <a:srgbClr val="2E75B6"/>
            </a:solidFill>
          </c:spPr>
          <c:invertIfNegative val="0"/>
          <c:cat>
            <c:numRef>
              <c:f>'13WCF'!$C$4:$O$4</c:f>
              <c:numCache>
                <c:formatCode>"W"0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'13WCF'!$C$13:$O$13</c:f>
              <c:numCache>
                <c:formatCode>#,##0;\(#,##0\);"-"</c:formatCode>
                <c:ptCount val="13"/>
                <c:pt idx="0">
                  <c:v>94735</c:v>
                </c:pt>
                <c:pt idx="1">
                  <c:v>112575</c:v>
                </c:pt>
                <c:pt idx="2">
                  <c:v>256064</c:v>
                </c:pt>
                <c:pt idx="3">
                  <c:v>111960</c:v>
                </c:pt>
                <c:pt idx="4">
                  <c:v>67840</c:v>
                </c:pt>
                <c:pt idx="5">
                  <c:v>84780</c:v>
                </c:pt>
                <c:pt idx="6">
                  <c:v>101160</c:v>
                </c:pt>
                <c:pt idx="7">
                  <c:v>127500</c:v>
                </c:pt>
                <c:pt idx="8">
                  <c:v>89325</c:v>
                </c:pt>
                <c:pt idx="9">
                  <c:v>106115</c:v>
                </c:pt>
                <c:pt idx="10">
                  <c:v>94550</c:v>
                </c:pt>
                <c:pt idx="11">
                  <c:v>125440</c:v>
                </c:pt>
                <c:pt idx="12">
                  <c:v>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D-C145-8D14-FA7B71BA63B1}"/>
            </c:ext>
          </c:extLst>
        </c:ser>
        <c:ser>
          <c:idx val="1"/>
          <c:order val="1"/>
          <c:tx>
            <c:strRef>
              <c:f>'13WCF'!$A$27</c:f>
              <c:strCache>
                <c:ptCount val="1"/>
                <c:pt idx="0">
                  <c:v>TOTAL DISBURSEMENTS</c:v>
                </c:pt>
              </c:strCache>
            </c:strRef>
          </c:tx>
          <c:spPr>
            <a:solidFill>
              <a:srgbClr val="C55A11"/>
            </a:solidFill>
          </c:spPr>
          <c:invertIfNegative val="0"/>
          <c:cat>
            <c:numRef>
              <c:f>'13WCF'!$C$4:$O$4</c:f>
              <c:numCache>
                <c:formatCode>"W"0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'13WCF'!$C$27:$O$27</c:f>
              <c:numCache>
                <c:formatCode>#,##0;\(#,##0\);"-"</c:formatCode>
                <c:ptCount val="13"/>
                <c:pt idx="0">
                  <c:v>71200</c:v>
                </c:pt>
                <c:pt idx="1">
                  <c:v>148040</c:v>
                </c:pt>
                <c:pt idx="2">
                  <c:v>234300</c:v>
                </c:pt>
                <c:pt idx="3">
                  <c:v>76300</c:v>
                </c:pt>
                <c:pt idx="4">
                  <c:v>114972.99159663866</c:v>
                </c:pt>
                <c:pt idx="5">
                  <c:v>69750</c:v>
                </c:pt>
                <c:pt idx="6">
                  <c:v>43060</c:v>
                </c:pt>
                <c:pt idx="7">
                  <c:v>207900</c:v>
                </c:pt>
                <c:pt idx="8">
                  <c:v>96510.756302521011</c:v>
                </c:pt>
                <c:pt idx="9">
                  <c:v>59950</c:v>
                </c:pt>
                <c:pt idx="10">
                  <c:v>70000</c:v>
                </c:pt>
                <c:pt idx="11">
                  <c:v>193500</c:v>
                </c:pt>
                <c:pt idx="12">
                  <c:v>44500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9D-C145-8D14-FA7B71BA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0020001"/>
        <c:axId val="50020002"/>
      </c:barChart>
      <c:catAx>
        <c:axId val="50020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Week</a:t>
                </a:r>
              </a:p>
            </c:rich>
          </c:tx>
          <c:overlay val="0"/>
        </c:title>
        <c:numFmt formatCode="&quot;W&quot;0" sourceLinked="0"/>
        <c:majorTickMark val="out"/>
        <c:minorTickMark val="none"/>
        <c:tickLblPos val="nextTo"/>
        <c:crossAx val="50020002"/>
        <c:crosses val="autoZero"/>
        <c:auto val="1"/>
        <c:lblAlgn val="ctr"/>
        <c:lblOffset val="100"/>
        <c:noMultiLvlLbl val="0"/>
      </c:catAx>
      <c:valAx>
        <c:axId val="5002000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crossAx val="50020001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95250</xdr:colOff>
      <xdr:row>17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20</xdr:row>
      <xdr:rowOff>0</xdr:rowOff>
    </xdr:from>
    <xdr:to>
      <xdr:col>16</xdr:col>
      <xdr:colOff>95250</xdr:colOff>
      <xdr:row>37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  <pageSetUpPr fitToPage="1"/>
  </sheetPr>
  <dimension ref="B1:H55"/>
  <sheetViews>
    <sheetView showGridLines="0" zoomScale="150" workbookViewId="0">
      <selection activeCell="C9" sqref="C9:H9"/>
    </sheetView>
  </sheetViews>
  <sheetFormatPr baseColWidth="10" defaultColWidth="8.83203125" defaultRowHeight="15" x14ac:dyDescent="0.2"/>
  <cols>
    <col min="1" max="1" width="2.6640625" customWidth="1"/>
    <col min="2" max="2" width="36.6640625" customWidth="1"/>
    <col min="3" max="3" width="24.6640625" customWidth="1"/>
    <col min="4" max="5" width="17.6640625" customWidth="1"/>
    <col min="6" max="7" width="19.6640625" customWidth="1"/>
    <col min="8" max="8" width="46.6640625" customWidth="1"/>
  </cols>
  <sheetData>
    <row r="1" spans="2:8" ht="21" x14ac:dyDescent="0.2">
      <c r="B1" s="37" t="s">
        <v>236</v>
      </c>
      <c r="C1" s="37"/>
      <c r="D1" s="37"/>
      <c r="E1" s="37"/>
      <c r="F1" s="37"/>
      <c r="G1" s="37"/>
      <c r="H1" s="37"/>
    </row>
    <row r="2" spans="2:8" x14ac:dyDescent="0.2">
      <c r="B2" s="38" t="s">
        <v>237</v>
      </c>
      <c r="C2" s="38"/>
      <c r="D2" s="38"/>
      <c r="E2" s="38"/>
      <c r="F2" s="38"/>
      <c r="G2" s="38"/>
      <c r="H2" s="38"/>
    </row>
    <row r="4" spans="2:8" x14ac:dyDescent="0.2">
      <c r="B4" s="39" t="s">
        <v>238</v>
      </c>
      <c r="C4" s="39"/>
      <c r="D4" s="39"/>
      <c r="E4" s="39"/>
      <c r="F4" s="39"/>
      <c r="G4" s="39"/>
      <c r="H4" s="39"/>
    </row>
    <row r="5" spans="2:8" ht="30" customHeight="1" x14ac:dyDescent="0.2">
      <c r="B5" s="2" t="s">
        <v>239</v>
      </c>
      <c r="C5" s="40" t="s">
        <v>240</v>
      </c>
      <c r="D5" s="40"/>
      <c r="E5" s="40"/>
      <c r="F5" s="40"/>
      <c r="G5" s="40"/>
      <c r="H5" s="40"/>
    </row>
    <row r="6" spans="2:8" ht="30" customHeight="1" x14ac:dyDescent="0.2">
      <c r="B6" s="2" t="s">
        <v>241</v>
      </c>
      <c r="C6" s="40" t="s">
        <v>242</v>
      </c>
      <c r="D6" s="40"/>
      <c r="E6" s="40"/>
      <c r="F6" s="40"/>
      <c r="G6" s="40"/>
      <c r="H6" s="40"/>
    </row>
    <row r="7" spans="2:8" ht="30" customHeight="1" x14ac:dyDescent="0.2">
      <c r="B7" s="2" t="s">
        <v>243</v>
      </c>
      <c r="C7" s="40" t="s">
        <v>244</v>
      </c>
      <c r="D7" s="40"/>
      <c r="E7" s="40"/>
      <c r="F7" s="40"/>
      <c r="G7" s="40"/>
      <c r="H7" s="40"/>
    </row>
    <row r="8" spans="2:8" ht="30" customHeight="1" x14ac:dyDescent="0.2">
      <c r="B8" s="2" t="s">
        <v>245</v>
      </c>
      <c r="C8" s="40" t="s">
        <v>246</v>
      </c>
      <c r="D8" s="40"/>
      <c r="E8" s="40"/>
      <c r="F8" s="40"/>
      <c r="G8" s="40"/>
      <c r="H8" s="40"/>
    </row>
    <row r="9" spans="2:8" ht="30" customHeight="1" x14ac:dyDescent="0.2">
      <c r="B9" s="2" t="s">
        <v>247</v>
      </c>
      <c r="C9" s="40" t="s">
        <v>248</v>
      </c>
      <c r="D9" s="40"/>
      <c r="E9" s="40"/>
      <c r="F9" s="40"/>
      <c r="G9" s="40"/>
      <c r="H9" s="40"/>
    </row>
    <row r="11" spans="2:8" x14ac:dyDescent="0.2">
      <c r="B11" s="39" t="s">
        <v>249</v>
      </c>
      <c r="C11" s="39"/>
      <c r="D11" s="39"/>
      <c r="E11" s="39"/>
      <c r="F11" s="39"/>
      <c r="G11" s="39"/>
      <c r="H11" s="39"/>
    </row>
    <row r="12" spans="2:8" x14ac:dyDescent="0.2">
      <c r="B12" s="4" t="s">
        <v>250</v>
      </c>
      <c r="C12" s="41" t="s">
        <v>251</v>
      </c>
      <c r="D12" s="41"/>
      <c r="E12" s="41"/>
      <c r="F12" s="41"/>
      <c r="G12" s="5" t="s">
        <v>252</v>
      </c>
      <c r="H12" s="4" t="s">
        <v>253</v>
      </c>
    </row>
    <row r="13" spans="2:8" ht="32" customHeight="1" x14ac:dyDescent="0.2">
      <c r="B13" s="2" t="s">
        <v>254</v>
      </c>
      <c r="C13" s="40" t="s">
        <v>255</v>
      </c>
      <c r="D13" s="40"/>
      <c r="E13" s="40"/>
      <c r="F13" s="40"/>
      <c r="G13" s="6">
        <v>-420000</v>
      </c>
      <c r="H13" s="3" t="s">
        <v>256</v>
      </c>
    </row>
    <row r="14" spans="2:8" ht="32" customHeight="1" x14ac:dyDescent="0.2">
      <c r="B14" s="2" t="s">
        <v>257</v>
      </c>
      <c r="C14" s="40" t="s">
        <v>258</v>
      </c>
      <c r="D14" s="40"/>
      <c r="E14" s="40"/>
      <c r="F14" s="40"/>
      <c r="G14" s="6">
        <v>-310000</v>
      </c>
      <c r="H14" s="3" t="s">
        <v>259</v>
      </c>
    </row>
    <row r="15" spans="2:8" ht="32" customHeight="1" x14ac:dyDescent="0.2">
      <c r="B15" s="2" t="s">
        <v>260</v>
      </c>
      <c r="C15" s="40" t="s">
        <v>261</v>
      </c>
      <c r="D15" s="40"/>
      <c r="E15" s="40"/>
      <c r="F15" s="40"/>
      <c r="G15" s="6">
        <v>-180000</v>
      </c>
      <c r="H15" s="3" t="s">
        <v>262</v>
      </c>
    </row>
    <row r="16" spans="2:8" ht="32" customHeight="1" x14ac:dyDescent="0.2">
      <c r="B16" s="2" t="s">
        <v>263</v>
      </c>
      <c r="C16" s="40" t="s">
        <v>264</v>
      </c>
      <c r="D16" s="40"/>
      <c r="E16" s="40"/>
      <c r="F16" s="40"/>
      <c r="G16" s="6">
        <v>-145000</v>
      </c>
      <c r="H16" s="3" t="s">
        <v>265</v>
      </c>
    </row>
    <row r="17" spans="2:8" ht="32" customHeight="1" x14ac:dyDescent="0.2">
      <c r="B17" s="2" t="s">
        <v>266</v>
      </c>
      <c r="C17" s="40" t="s">
        <v>267</v>
      </c>
      <c r="D17" s="40"/>
      <c r="E17" s="40"/>
      <c r="F17" s="40"/>
      <c r="G17" s="6">
        <v>-60000</v>
      </c>
      <c r="H17" s="3" t="s">
        <v>268</v>
      </c>
    </row>
    <row r="18" spans="2:8" x14ac:dyDescent="0.2">
      <c r="B18" s="42" t="s">
        <v>269</v>
      </c>
      <c r="C18" s="42"/>
      <c r="D18" s="42"/>
      <c r="E18" s="42"/>
      <c r="F18" s="42"/>
      <c r="G18" s="7">
        <f>SUM(G13:G17)</f>
        <v>-1115000</v>
      </c>
      <c r="H18" s="2"/>
    </row>
    <row r="20" spans="2:8" x14ac:dyDescent="0.2">
      <c r="B20" s="39" t="s">
        <v>270</v>
      </c>
      <c r="C20" s="39"/>
      <c r="D20" s="39"/>
      <c r="E20" s="39"/>
      <c r="F20" s="39"/>
      <c r="G20" s="39"/>
      <c r="H20" s="39"/>
    </row>
    <row r="21" spans="2:8" x14ac:dyDescent="0.2">
      <c r="B21" s="2" t="s">
        <v>271</v>
      </c>
      <c r="C21" s="6">
        <v>250000</v>
      </c>
    </row>
    <row r="22" spans="2:8" x14ac:dyDescent="0.2">
      <c r="B22" s="4" t="s">
        <v>272</v>
      </c>
      <c r="C22" s="41" t="s">
        <v>273</v>
      </c>
      <c r="D22" s="41"/>
      <c r="E22" s="5" t="s">
        <v>274</v>
      </c>
      <c r="F22" s="5" t="s">
        <v>275</v>
      </c>
      <c r="G22" s="41" t="s">
        <v>276</v>
      </c>
      <c r="H22" s="41"/>
    </row>
    <row r="23" spans="2:8" x14ac:dyDescent="0.2">
      <c r="B23" s="2" t="s">
        <v>277</v>
      </c>
      <c r="C23" s="40" t="s">
        <v>278</v>
      </c>
      <c r="D23" s="40"/>
      <c r="E23" s="8">
        <v>0.51</v>
      </c>
      <c r="F23" s="6">
        <f>E23*$C$21</f>
        <v>127500</v>
      </c>
      <c r="G23" s="40" t="s">
        <v>279</v>
      </c>
      <c r="H23" s="40"/>
    </row>
    <row r="24" spans="2:8" x14ac:dyDescent="0.2">
      <c r="B24" s="2" t="s">
        <v>280</v>
      </c>
      <c r="C24" s="40" t="s">
        <v>281</v>
      </c>
      <c r="D24" s="40"/>
      <c r="E24" s="8">
        <v>0.24</v>
      </c>
      <c r="F24" s="6">
        <f>E24*$C$21</f>
        <v>60000</v>
      </c>
      <c r="G24" s="40" t="s">
        <v>282</v>
      </c>
      <c r="H24" s="40"/>
    </row>
    <row r="25" spans="2:8" x14ac:dyDescent="0.2">
      <c r="B25" s="2" t="s">
        <v>283</v>
      </c>
      <c r="C25" s="40" t="s">
        <v>284</v>
      </c>
      <c r="D25" s="40"/>
      <c r="E25" s="8">
        <v>0.15</v>
      </c>
      <c r="F25" s="6">
        <f>E25*$C$21</f>
        <v>37500</v>
      </c>
      <c r="G25" s="40" t="s">
        <v>285</v>
      </c>
      <c r="H25" s="40"/>
    </row>
    <row r="26" spans="2:8" x14ac:dyDescent="0.2">
      <c r="B26" s="2" t="s">
        <v>286</v>
      </c>
      <c r="C26" s="40" t="s">
        <v>287</v>
      </c>
      <c r="D26" s="40"/>
      <c r="E26" s="8">
        <v>0.1</v>
      </c>
      <c r="F26" s="6">
        <f>E26*$C$21</f>
        <v>25000</v>
      </c>
      <c r="G26" s="40" t="s">
        <v>288</v>
      </c>
      <c r="H26" s="40"/>
    </row>
    <row r="27" spans="2:8" x14ac:dyDescent="0.2">
      <c r="B27" s="42" t="s">
        <v>289</v>
      </c>
      <c r="C27" s="42"/>
      <c r="D27" s="42"/>
      <c r="E27" s="9">
        <f>SUM(E23:E26)</f>
        <v>1</v>
      </c>
      <c r="F27" s="7">
        <f>SUM(F23:F26)</f>
        <v>250000</v>
      </c>
      <c r="G27" s="42"/>
      <c r="H27" s="42"/>
    </row>
    <row r="29" spans="2:8" x14ac:dyDescent="0.2">
      <c r="B29" s="4" t="s">
        <v>290</v>
      </c>
      <c r="C29" s="4" t="s">
        <v>291</v>
      </c>
      <c r="D29" s="5" t="s">
        <v>292</v>
      </c>
      <c r="E29" s="41" t="s">
        <v>293</v>
      </c>
      <c r="F29" s="41"/>
      <c r="G29" s="41"/>
      <c r="H29" s="41"/>
    </row>
    <row r="30" spans="2:8" x14ac:dyDescent="0.2">
      <c r="B30" s="2" t="s">
        <v>294</v>
      </c>
      <c r="C30" s="3" t="s">
        <v>295</v>
      </c>
      <c r="D30" s="6">
        <v>1250000</v>
      </c>
      <c r="E30" s="40" t="s">
        <v>296</v>
      </c>
      <c r="F30" s="40"/>
      <c r="G30" s="40"/>
      <c r="H30" s="40"/>
    </row>
    <row r="31" spans="2:8" x14ac:dyDescent="0.2">
      <c r="B31" s="2" t="s">
        <v>297</v>
      </c>
      <c r="C31" s="3" t="s">
        <v>298</v>
      </c>
      <c r="D31" s="6">
        <v>400000</v>
      </c>
      <c r="E31" s="40" t="s">
        <v>299</v>
      </c>
      <c r="F31" s="40"/>
      <c r="G31" s="40"/>
      <c r="H31" s="40"/>
    </row>
    <row r="32" spans="2:8" x14ac:dyDescent="0.2">
      <c r="B32" s="2" t="s">
        <v>300</v>
      </c>
      <c r="C32" s="3" t="s">
        <v>301</v>
      </c>
      <c r="D32" s="6">
        <v>620000</v>
      </c>
      <c r="E32" s="40" t="s">
        <v>302</v>
      </c>
      <c r="F32" s="40"/>
      <c r="G32" s="40"/>
      <c r="H32" s="40"/>
    </row>
    <row r="33" spans="2:8" x14ac:dyDescent="0.2">
      <c r="B33" s="2" t="s">
        <v>303</v>
      </c>
      <c r="C33" s="3" t="s">
        <v>304</v>
      </c>
      <c r="D33" s="6">
        <f>SUM(Assumptions!D36:P36)</f>
        <v>210000</v>
      </c>
      <c r="E33" s="40" t="s">
        <v>305</v>
      </c>
      <c r="F33" s="40"/>
      <c r="G33" s="40"/>
      <c r="H33" s="40"/>
    </row>
    <row r="34" spans="2:8" x14ac:dyDescent="0.2">
      <c r="B34" s="42" t="s">
        <v>306</v>
      </c>
      <c r="C34" s="42"/>
      <c r="D34" s="7">
        <f>SUM(D30:D33)</f>
        <v>2480000</v>
      </c>
      <c r="E34" s="42"/>
      <c r="F34" s="42"/>
      <c r="G34" s="42"/>
      <c r="H34" s="42"/>
    </row>
    <row r="36" spans="2:8" x14ac:dyDescent="0.2">
      <c r="B36" s="39" t="s">
        <v>307</v>
      </c>
      <c r="C36" s="39"/>
      <c r="D36" s="39"/>
      <c r="E36" s="39"/>
      <c r="F36" s="39"/>
      <c r="G36" s="39"/>
      <c r="H36" s="39"/>
    </row>
    <row r="37" spans="2:8" x14ac:dyDescent="0.2">
      <c r="B37" s="4" t="s">
        <v>308</v>
      </c>
      <c r="C37" s="4" t="s">
        <v>80</v>
      </c>
      <c r="D37" s="5" t="s">
        <v>309</v>
      </c>
      <c r="E37" s="5" t="s">
        <v>310</v>
      </c>
      <c r="F37" s="4" t="s">
        <v>311</v>
      </c>
      <c r="G37" s="41" t="s">
        <v>312</v>
      </c>
      <c r="H37" s="41"/>
    </row>
    <row r="38" spans="2:8" x14ac:dyDescent="0.2">
      <c r="B38" s="2" t="s">
        <v>313</v>
      </c>
      <c r="C38" s="3" t="s">
        <v>86</v>
      </c>
      <c r="D38" s="6">
        <f>Assumptions!D40</f>
        <v>96400</v>
      </c>
      <c r="E38" s="10">
        <v>75</v>
      </c>
      <c r="F38" s="3" t="s">
        <v>314</v>
      </c>
      <c r="G38" s="40" t="s">
        <v>315</v>
      </c>
      <c r="H38" s="40"/>
    </row>
    <row r="39" spans="2:8" x14ac:dyDescent="0.2">
      <c r="B39" s="2" t="s">
        <v>93</v>
      </c>
      <c r="C39" s="3" t="s">
        <v>94</v>
      </c>
      <c r="D39" s="6">
        <f>Assumptions!D43</f>
        <v>58300</v>
      </c>
      <c r="E39" s="10">
        <v>62</v>
      </c>
      <c r="F39" s="3" t="s">
        <v>316</v>
      </c>
      <c r="G39" s="40" t="s">
        <v>317</v>
      </c>
      <c r="H39" s="40"/>
    </row>
    <row r="40" spans="2:8" x14ac:dyDescent="0.2">
      <c r="B40" s="2" t="s">
        <v>99</v>
      </c>
      <c r="C40" s="3" t="s">
        <v>100</v>
      </c>
      <c r="D40" s="6">
        <f>Assumptions!D45</f>
        <v>47200</v>
      </c>
      <c r="E40" s="10">
        <v>48</v>
      </c>
      <c r="F40" s="3" t="s">
        <v>318</v>
      </c>
      <c r="G40" s="40" t="s">
        <v>319</v>
      </c>
      <c r="H40" s="40"/>
    </row>
    <row r="41" spans="2:8" x14ac:dyDescent="0.2">
      <c r="B41" s="2" t="s">
        <v>90</v>
      </c>
      <c r="C41" s="3" t="s">
        <v>91</v>
      </c>
      <c r="D41" s="6">
        <f>Assumptions!D42</f>
        <v>41800</v>
      </c>
      <c r="E41" s="10">
        <v>55</v>
      </c>
      <c r="F41" s="3" t="s">
        <v>320</v>
      </c>
      <c r="G41" s="40" t="s">
        <v>321</v>
      </c>
      <c r="H41" s="40"/>
    </row>
    <row r="42" spans="2:8" x14ac:dyDescent="0.2">
      <c r="B42" s="2" t="s">
        <v>112</v>
      </c>
      <c r="C42" s="3" t="s">
        <v>113</v>
      </c>
      <c r="D42" s="6">
        <f>Assumptions!D50</f>
        <v>36800</v>
      </c>
      <c r="E42" s="10">
        <v>40</v>
      </c>
      <c r="F42" s="3" t="s">
        <v>322</v>
      </c>
      <c r="G42" s="40" t="s">
        <v>317</v>
      </c>
      <c r="H42" s="40"/>
    </row>
    <row r="43" spans="2:8" x14ac:dyDescent="0.2">
      <c r="B43" s="2" t="s">
        <v>323</v>
      </c>
      <c r="C43" s="3" t="s">
        <v>103</v>
      </c>
      <c r="D43" s="6">
        <f>Assumptions!D46</f>
        <v>33900</v>
      </c>
      <c r="E43" s="10">
        <v>58</v>
      </c>
      <c r="F43" s="3" t="s">
        <v>324</v>
      </c>
      <c r="G43" s="40" t="s">
        <v>325</v>
      </c>
      <c r="H43" s="40"/>
    </row>
    <row r="44" spans="2:8" x14ac:dyDescent="0.2">
      <c r="B44" s="2" t="s">
        <v>106</v>
      </c>
      <c r="C44" s="3" t="s">
        <v>107</v>
      </c>
      <c r="D44" s="6">
        <f>Assumptions!D48</f>
        <v>28700</v>
      </c>
      <c r="E44" s="10">
        <v>35</v>
      </c>
      <c r="F44" s="3" t="s">
        <v>326</v>
      </c>
      <c r="G44" s="40" t="s">
        <v>327</v>
      </c>
      <c r="H44" s="40"/>
    </row>
    <row r="45" spans="2:8" x14ac:dyDescent="0.2">
      <c r="B45" s="42" t="s">
        <v>328</v>
      </c>
      <c r="C45" s="42"/>
      <c r="D45" s="7">
        <f>SUM(D38:D44)</f>
        <v>343100</v>
      </c>
      <c r="E45" s="42"/>
      <c r="F45" s="42"/>
      <c r="G45" s="42"/>
      <c r="H45" s="42"/>
    </row>
    <row r="47" spans="2:8" x14ac:dyDescent="0.2">
      <c r="B47" s="39" t="s">
        <v>329</v>
      </c>
      <c r="C47" s="39"/>
      <c r="D47" s="39"/>
      <c r="E47" s="39"/>
      <c r="F47" s="39"/>
      <c r="G47" s="39"/>
      <c r="H47" s="39"/>
    </row>
    <row r="48" spans="2:8" ht="30" customHeight="1" x14ac:dyDescent="0.2">
      <c r="B48" s="4" t="s">
        <v>330</v>
      </c>
      <c r="C48" s="4" t="s">
        <v>331</v>
      </c>
      <c r="D48" s="5" t="s">
        <v>332</v>
      </c>
      <c r="E48" s="5" t="s">
        <v>333</v>
      </c>
      <c r="F48" s="5" t="s">
        <v>334</v>
      </c>
      <c r="G48" s="41" t="s">
        <v>251</v>
      </c>
      <c r="H48" s="41"/>
    </row>
    <row r="49" spans="2:8" ht="32" customHeight="1" x14ac:dyDescent="0.2">
      <c r="B49" s="2" t="s">
        <v>335</v>
      </c>
      <c r="C49" s="3" t="s">
        <v>336</v>
      </c>
      <c r="D49" s="6">
        <v>120000</v>
      </c>
      <c r="E49" s="3" t="s">
        <v>337</v>
      </c>
      <c r="F49" s="3" t="s">
        <v>338</v>
      </c>
      <c r="G49" s="40" t="s">
        <v>339</v>
      </c>
      <c r="H49" s="40"/>
    </row>
    <row r="50" spans="2:8" ht="32" customHeight="1" x14ac:dyDescent="0.2">
      <c r="B50" s="2" t="s">
        <v>340</v>
      </c>
      <c r="C50" s="3" t="s">
        <v>341</v>
      </c>
      <c r="D50" s="6">
        <v>150000</v>
      </c>
      <c r="E50" s="3" t="s">
        <v>342</v>
      </c>
      <c r="F50" s="3" t="s">
        <v>343</v>
      </c>
      <c r="G50" s="40" t="s">
        <v>344</v>
      </c>
      <c r="H50" s="40"/>
    </row>
    <row r="51" spans="2:8" ht="32" customHeight="1" x14ac:dyDescent="0.2">
      <c r="B51" s="2" t="s">
        <v>345</v>
      </c>
      <c r="C51" s="3" t="s">
        <v>303</v>
      </c>
      <c r="D51" s="6">
        <f>SUM(Assumptions!D36:P36)</f>
        <v>210000</v>
      </c>
      <c r="E51" s="3" t="s">
        <v>346</v>
      </c>
      <c r="F51" s="3" t="s">
        <v>347</v>
      </c>
      <c r="G51" s="40" t="s">
        <v>348</v>
      </c>
      <c r="H51" s="40"/>
    </row>
    <row r="52" spans="2:8" ht="32" customHeight="1" x14ac:dyDescent="0.2">
      <c r="B52" s="2" t="s">
        <v>349</v>
      </c>
      <c r="C52" s="3" t="s">
        <v>350</v>
      </c>
      <c r="D52" s="6">
        <v>45000</v>
      </c>
      <c r="E52" s="3" t="s">
        <v>351</v>
      </c>
      <c r="F52" s="3" t="s">
        <v>352</v>
      </c>
      <c r="G52" s="40" t="s">
        <v>353</v>
      </c>
      <c r="H52" s="40"/>
    </row>
    <row r="53" spans="2:8" ht="32" customHeight="1" x14ac:dyDescent="0.2">
      <c r="B53" s="2" t="s">
        <v>354</v>
      </c>
      <c r="C53" s="3" t="s">
        <v>355</v>
      </c>
      <c r="D53" s="6">
        <v>60000</v>
      </c>
      <c r="E53" s="3" t="s">
        <v>356</v>
      </c>
      <c r="F53" s="3" t="s">
        <v>338</v>
      </c>
      <c r="G53" s="40" t="s">
        <v>357</v>
      </c>
      <c r="H53" s="40"/>
    </row>
    <row r="54" spans="2:8" ht="32" customHeight="1" x14ac:dyDescent="0.2">
      <c r="B54" s="2" t="s">
        <v>358</v>
      </c>
      <c r="C54" s="3" t="s">
        <v>359</v>
      </c>
      <c r="D54" s="6">
        <v>30000</v>
      </c>
      <c r="E54" s="3" t="s">
        <v>360</v>
      </c>
      <c r="F54" s="3" t="s">
        <v>352</v>
      </c>
      <c r="G54" s="40" t="s">
        <v>361</v>
      </c>
      <c r="H54" s="40"/>
    </row>
    <row r="55" spans="2:8" x14ac:dyDescent="0.2">
      <c r="B55" s="38" t="s">
        <v>362</v>
      </c>
      <c r="C55" s="38"/>
      <c r="D55" s="38"/>
      <c r="E55" s="38"/>
      <c r="F55" s="38"/>
      <c r="G55" s="38"/>
      <c r="H55" s="38"/>
    </row>
  </sheetData>
  <mergeCells count="56">
    <mergeCell ref="G52:H52"/>
    <mergeCell ref="G53:H53"/>
    <mergeCell ref="G54:H54"/>
    <mergeCell ref="B55:H55"/>
    <mergeCell ref="B47:H47"/>
    <mergeCell ref="G48:H48"/>
    <mergeCell ref="G49:H49"/>
    <mergeCell ref="G50:H50"/>
    <mergeCell ref="G51:H51"/>
    <mergeCell ref="G42:H42"/>
    <mergeCell ref="G43:H43"/>
    <mergeCell ref="G44:H44"/>
    <mergeCell ref="B45:C45"/>
    <mergeCell ref="E45:H45"/>
    <mergeCell ref="G37:H37"/>
    <mergeCell ref="G38:H38"/>
    <mergeCell ref="G39:H39"/>
    <mergeCell ref="G40:H40"/>
    <mergeCell ref="G41:H41"/>
    <mergeCell ref="E32:H32"/>
    <mergeCell ref="E33:H33"/>
    <mergeCell ref="B34:C34"/>
    <mergeCell ref="E34:H34"/>
    <mergeCell ref="B36:H36"/>
    <mergeCell ref="B27:D27"/>
    <mergeCell ref="G27:H27"/>
    <mergeCell ref="E29:H29"/>
    <mergeCell ref="E30:H30"/>
    <mergeCell ref="E31:H31"/>
    <mergeCell ref="C24:D24"/>
    <mergeCell ref="G24:H24"/>
    <mergeCell ref="C25:D25"/>
    <mergeCell ref="G25:H25"/>
    <mergeCell ref="C26:D26"/>
    <mergeCell ref="G26:H26"/>
    <mergeCell ref="B18:F18"/>
    <mergeCell ref="B20:H20"/>
    <mergeCell ref="C22:D22"/>
    <mergeCell ref="G22:H22"/>
    <mergeCell ref="C23:D23"/>
    <mergeCell ref="G23:H23"/>
    <mergeCell ref="C13:F13"/>
    <mergeCell ref="C14:F14"/>
    <mergeCell ref="C15:F15"/>
    <mergeCell ref="C16:F16"/>
    <mergeCell ref="C17:F17"/>
    <mergeCell ref="C7:H7"/>
    <mergeCell ref="C8:H8"/>
    <mergeCell ref="C9:H9"/>
    <mergeCell ref="B11:H11"/>
    <mergeCell ref="C12:F12"/>
    <mergeCell ref="B1:H1"/>
    <mergeCell ref="B2:H2"/>
    <mergeCell ref="B4:H4"/>
    <mergeCell ref="C5:H5"/>
    <mergeCell ref="C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75B5"/>
    <pageSetUpPr fitToPage="1"/>
  </sheetPr>
  <dimension ref="B1:P73"/>
  <sheetViews>
    <sheetView showGridLines="0" zoomScale="159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6" sqref="C6"/>
    </sheetView>
  </sheetViews>
  <sheetFormatPr baseColWidth="10" defaultColWidth="8.83203125" defaultRowHeight="15" x14ac:dyDescent="0.2"/>
  <cols>
    <col min="1" max="1" width="2.6640625" customWidth="1"/>
    <col min="2" max="2" width="42.6640625" customWidth="1"/>
    <col min="3" max="3" width="28.6640625" customWidth="1"/>
    <col min="4" max="16" width="13.6640625" customWidth="1"/>
  </cols>
  <sheetData>
    <row r="1" spans="2:16" ht="21" x14ac:dyDescent="0.2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x14ac:dyDescent="0.2">
      <c r="B2" s="38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2:16" x14ac:dyDescent="0.2">
      <c r="B4" s="39" t="s">
        <v>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2:16" x14ac:dyDescent="0.2">
      <c r="B5" s="11" t="s">
        <v>3</v>
      </c>
      <c r="C5" s="12">
        <v>46325</v>
      </c>
      <c r="D5" s="38" t="s">
        <v>4</v>
      </c>
      <c r="E5" s="38"/>
      <c r="F5" s="38"/>
      <c r="G5" s="38"/>
      <c r="H5" s="38"/>
      <c r="I5" s="38"/>
      <c r="J5" s="38"/>
    </row>
    <row r="6" spans="2:16" x14ac:dyDescent="0.2">
      <c r="B6" s="11" t="s">
        <v>5</v>
      </c>
      <c r="C6" s="13">
        <v>85000</v>
      </c>
      <c r="D6" s="38" t="s">
        <v>6</v>
      </c>
      <c r="E6" s="38"/>
      <c r="F6" s="38"/>
      <c r="G6" s="38"/>
      <c r="H6" s="38"/>
      <c r="I6" s="38"/>
      <c r="J6" s="38"/>
    </row>
    <row r="7" spans="2:16" x14ac:dyDescent="0.2">
      <c r="B7" s="11" t="s">
        <v>7</v>
      </c>
      <c r="C7" s="13">
        <v>75000</v>
      </c>
      <c r="D7" s="38" t="s">
        <v>8</v>
      </c>
      <c r="E7" s="38"/>
      <c r="F7" s="38"/>
      <c r="G7" s="38"/>
      <c r="H7" s="38"/>
      <c r="I7" s="38"/>
      <c r="J7" s="38"/>
    </row>
    <row r="8" spans="2:16" x14ac:dyDescent="0.2">
      <c r="B8" s="11" t="s">
        <v>9</v>
      </c>
      <c r="C8" s="14">
        <v>0.19</v>
      </c>
      <c r="D8" s="38" t="s">
        <v>10</v>
      </c>
      <c r="E8" s="38"/>
      <c r="F8" s="38"/>
      <c r="G8" s="38"/>
      <c r="H8" s="38"/>
      <c r="I8" s="38"/>
      <c r="J8" s="38"/>
    </row>
    <row r="9" spans="2:16" x14ac:dyDescent="0.2">
      <c r="B9" s="11" t="s">
        <v>11</v>
      </c>
      <c r="C9" s="15">
        <f>C8/(1+C8)</f>
        <v>0.1596638655462185</v>
      </c>
      <c r="D9" s="38">
        <v>0</v>
      </c>
      <c r="E9" s="38"/>
      <c r="F9" s="38"/>
      <c r="G9" s="38"/>
      <c r="H9" s="38"/>
      <c r="I9" s="38"/>
      <c r="J9" s="38"/>
    </row>
    <row r="10" spans="2:16" x14ac:dyDescent="0.2">
      <c r="B10" s="11" t="s">
        <v>12</v>
      </c>
      <c r="C10" s="16">
        <v>7</v>
      </c>
      <c r="D10" s="38" t="s">
        <v>13</v>
      </c>
      <c r="E10" s="38"/>
      <c r="F10" s="38"/>
      <c r="G10" s="38"/>
      <c r="H10" s="38"/>
      <c r="I10" s="38"/>
      <c r="J10" s="38"/>
    </row>
    <row r="11" spans="2:16" x14ac:dyDescent="0.2">
      <c r="B11" s="11" t="s">
        <v>14</v>
      </c>
      <c r="C11" s="13">
        <v>38000</v>
      </c>
      <c r="D11" s="38" t="s">
        <v>15</v>
      </c>
      <c r="E11" s="38"/>
      <c r="F11" s="38"/>
      <c r="G11" s="38"/>
      <c r="H11" s="38"/>
      <c r="I11" s="38"/>
      <c r="J11" s="38"/>
    </row>
    <row r="12" spans="2:16" x14ac:dyDescent="0.2">
      <c r="B12" s="11" t="s">
        <v>16</v>
      </c>
      <c r="C12" s="16">
        <v>0</v>
      </c>
      <c r="D12" s="38" t="s">
        <v>17</v>
      </c>
      <c r="E12" s="38"/>
      <c r="F12" s="38"/>
      <c r="G12" s="38"/>
      <c r="H12" s="38"/>
      <c r="I12" s="38"/>
      <c r="J12" s="38"/>
    </row>
    <row r="13" spans="2:16" x14ac:dyDescent="0.2">
      <c r="B13" s="11" t="s">
        <v>18</v>
      </c>
      <c r="C13" s="13">
        <v>0</v>
      </c>
      <c r="D13" s="38" t="s">
        <v>19</v>
      </c>
      <c r="E13" s="38"/>
      <c r="F13" s="38"/>
      <c r="G13" s="38"/>
      <c r="H13" s="38"/>
      <c r="I13" s="38"/>
      <c r="J13" s="38"/>
    </row>
    <row r="15" spans="2:16" x14ac:dyDescent="0.2">
      <c r="B15" s="39" t="s">
        <v>20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2:16" ht="42" customHeight="1" x14ac:dyDescent="0.2">
      <c r="B16" s="4" t="s">
        <v>21</v>
      </c>
      <c r="C16" s="5" t="s">
        <v>22</v>
      </c>
      <c r="D16" s="5" t="s">
        <v>23</v>
      </c>
      <c r="E16" s="5" t="s">
        <v>24</v>
      </c>
      <c r="F16" s="5" t="s">
        <v>25</v>
      </c>
      <c r="G16" s="5" t="s">
        <v>26</v>
      </c>
      <c r="H16" s="5" t="s">
        <v>27</v>
      </c>
      <c r="I16" s="41" t="s">
        <v>28</v>
      </c>
      <c r="J16" s="41"/>
      <c r="K16" s="41"/>
      <c r="L16" s="41"/>
    </row>
    <row r="17" spans="2:12" x14ac:dyDescent="0.2">
      <c r="B17" s="17" t="s">
        <v>29</v>
      </c>
      <c r="C17" s="17" t="s">
        <v>30</v>
      </c>
      <c r="D17" s="13">
        <v>118500</v>
      </c>
      <c r="E17" s="14">
        <v>0.95</v>
      </c>
      <c r="F17" s="18">
        <f t="shared" ref="F17:F30" si="0">D17*E17</f>
        <v>112575</v>
      </c>
      <c r="G17" s="16">
        <v>2</v>
      </c>
      <c r="H17" s="19">
        <f t="shared" ref="H17:H30" si="1">G17+$C$12</f>
        <v>2</v>
      </c>
      <c r="I17" s="43" t="s">
        <v>31</v>
      </c>
      <c r="J17" s="43"/>
      <c r="K17" s="43"/>
      <c r="L17" s="43"/>
    </row>
    <row r="18" spans="2:12" x14ac:dyDescent="0.2">
      <c r="B18" s="17" t="s">
        <v>32</v>
      </c>
      <c r="C18" s="17" t="s">
        <v>33</v>
      </c>
      <c r="D18" s="13">
        <v>64200</v>
      </c>
      <c r="E18" s="14">
        <v>0.9</v>
      </c>
      <c r="F18" s="18">
        <f t="shared" si="0"/>
        <v>57780</v>
      </c>
      <c r="G18" s="16">
        <v>1</v>
      </c>
      <c r="H18" s="19">
        <f t="shared" si="1"/>
        <v>1</v>
      </c>
      <c r="I18" s="43" t="s">
        <v>34</v>
      </c>
      <c r="J18" s="43"/>
      <c r="K18" s="43"/>
      <c r="L18" s="43"/>
    </row>
    <row r="19" spans="2:12" x14ac:dyDescent="0.2">
      <c r="B19" s="17" t="s">
        <v>35</v>
      </c>
      <c r="C19" s="17" t="s">
        <v>36</v>
      </c>
      <c r="D19" s="13">
        <v>142800</v>
      </c>
      <c r="E19" s="14">
        <v>0.7</v>
      </c>
      <c r="F19" s="18">
        <f t="shared" si="0"/>
        <v>99960</v>
      </c>
      <c r="G19" s="16">
        <v>4</v>
      </c>
      <c r="H19" s="19">
        <f t="shared" si="1"/>
        <v>4</v>
      </c>
      <c r="I19" s="43" t="s">
        <v>37</v>
      </c>
      <c r="J19" s="43"/>
      <c r="K19" s="43"/>
      <c r="L19" s="43"/>
    </row>
    <row r="20" spans="2:12" x14ac:dyDescent="0.2">
      <c r="B20" s="17" t="s">
        <v>38</v>
      </c>
      <c r="C20" s="17" t="s">
        <v>39</v>
      </c>
      <c r="D20" s="13">
        <v>38900</v>
      </c>
      <c r="E20" s="14">
        <v>0.95</v>
      </c>
      <c r="F20" s="18">
        <f t="shared" si="0"/>
        <v>36955</v>
      </c>
      <c r="G20" s="16">
        <v>1</v>
      </c>
      <c r="H20" s="19">
        <f t="shared" si="1"/>
        <v>1</v>
      </c>
      <c r="I20" s="43" t="s">
        <v>40</v>
      </c>
      <c r="J20" s="43"/>
      <c r="K20" s="43"/>
      <c r="L20" s="43"/>
    </row>
    <row r="21" spans="2:12" x14ac:dyDescent="0.2">
      <c r="B21" s="17" t="s">
        <v>41</v>
      </c>
      <c r="C21" s="17" t="s">
        <v>42</v>
      </c>
      <c r="D21" s="13">
        <v>76400</v>
      </c>
      <c r="E21" s="14">
        <v>0.85</v>
      </c>
      <c r="F21" s="18">
        <f t="shared" si="0"/>
        <v>64940</v>
      </c>
      <c r="G21" s="16">
        <v>3</v>
      </c>
      <c r="H21" s="19">
        <f t="shared" si="1"/>
        <v>3</v>
      </c>
      <c r="I21" s="43" t="s">
        <v>43</v>
      </c>
      <c r="J21" s="43"/>
      <c r="K21" s="43"/>
      <c r="L21" s="43"/>
    </row>
    <row r="22" spans="2:12" x14ac:dyDescent="0.2">
      <c r="B22" s="17" t="s">
        <v>44</v>
      </c>
      <c r="C22" s="17" t="s">
        <v>45</v>
      </c>
      <c r="D22" s="13">
        <v>91300</v>
      </c>
      <c r="E22" s="14">
        <v>0.6</v>
      </c>
      <c r="F22" s="18">
        <f t="shared" si="0"/>
        <v>54780</v>
      </c>
      <c r="G22" s="16">
        <v>6</v>
      </c>
      <c r="H22" s="19">
        <f t="shared" si="1"/>
        <v>6</v>
      </c>
      <c r="I22" s="43" t="s">
        <v>46</v>
      </c>
      <c r="J22" s="43"/>
      <c r="K22" s="43"/>
      <c r="L22" s="43"/>
    </row>
    <row r="23" spans="2:12" x14ac:dyDescent="0.2">
      <c r="B23" s="17" t="s">
        <v>47</v>
      </c>
      <c r="C23" s="17" t="s">
        <v>48</v>
      </c>
      <c r="D23" s="13">
        <v>47600</v>
      </c>
      <c r="E23" s="14">
        <v>0.9</v>
      </c>
      <c r="F23" s="18">
        <f t="shared" si="0"/>
        <v>42840</v>
      </c>
      <c r="G23" s="16">
        <v>5</v>
      </c>
      <c r="H23" s="19">
        <f t="shared" si="1"/>
        <v>5</v>
      </c>
      <c r="I23" s="43" t="s">
        <v>49</v>
      </c>
      <c r="J23" s="43"/>
      <c r="K23" s="43"/>
      <c r="L23" s="43"/>
    </row>
    <row r="24" spans="2:12" x14ac:dyDescent="0.2">
      <c r="B24" s="17" t="s">
        <v>50</v>
      </c>
      <c r="C24" s="17" t="s">
        <v>51</v>
      </c>
      <c r="D24" s="13">
        <v>55000</v>
      </c>
      <c r="E24" s="14">
        <v>0.5</v>
      </c>
      <c r="F24" s="18">
        <f t="shared" si="0"/>
        <v>27500</v>
      </c>
      <c r="G24" s="16">
        <v>8</v>
      </c>
      <c r="H24" s="19">
        <f t="shared" si="1"/>
        <v>8</v>
      </c>
      <c r="I24" s="43" t="s">
        <v>52</v>
      </c>
      <c r="J24" s="43"/>
      <c r="K24" s="43"/>
      <c r="L24" s="43"/>
    </row>
    <row r="25" spans="2:12" x14ac:dyDescent="0.2">
      <c r="B25" s="17" t="s">
        <v>53</v>
      </c>
      <c r="C25" s="17" t="s">
        <v>54</v>
      </c>
      <c r="D25" s="13">
        <v>33800</v>
      </c>
      <c r="E25" s="14">
        <v>0.98</v>
      </c>
      <c r="F25" s="18">
        <f t="shared" si="0"/>
        <v>33124</v>
      </c>
      <c r="G25" s="16">
        <v>3</v>
      </c>
      <c r="H25" s="19">
        <f t="shared" si="1"/>
        <v>3</v>
      </c>
      <c r="I25" s="43" t="s">
        <v>55</v>
      </c>
      <c r="J25" s="43"/>
      <c r="K25" s="43"/>
      <c r="L25" s="43"/>
    </row>
    <row r="26" spans="2:12" x14ac:dyDescent="0.2">
      <c r="B26" s="17" t="s">
        <v>56</v>
      </c>
      <c r="C26" s="17" t="s">
        <v>57</v>
      </c>
      <c r="D26" s="13">
        <v>82700</v>
      </c>
      <c r="E26" s="14">
        <v>0.8</v>
      </c>
      <c r="F26" s="18">
        <f t="shared" si="0"/>
        <v>66160</v>
      </c>
      <c r="G26" s="16">
        <v>7</v>
      </c>
      <c r="H26" s="19">
        <f t="shared" si="1"/>
        <v>7</v>
      </c>
      <c r="I26" s="43" t="s">
        <v>58</v>
      </c>
      <c r="J26" s="43"/>
      <c r="K26" s="43"/>
      <c r="L26" s="43"/>
    </row>
    <row r="27" spans="2:12" x14ac:dyDescent="0.2">
      <c r="B27" s="17" t="s">
        <v>59</v>
      </c>
      <c r="C27" s="17" t="s">
        <v>60</v>
      </c>
      <c r="D27" s="13">
        <v>59100</v>
      </c>
      <c r="E27" s="14">
        <v>0.75</v>
      </c>
      <c r="F27" s="18">
        <f t="shared" si="0"/>
        <v>44325</v>
      </c>
      <c r="G27" s="16">
        <v>9</v>
      </c>
      <c r="H27" s="19">
        <f t="shared" si="1"/>
        <v>9</v>
      </c>
      <c r="I27" s="43" t="s">
        <v>61</v>
      </c>
      <c r="J27" s="43"/>
      <c r="K27" s="43"/>
      <c r="L27" s="43"/>
    </row>
    <row r="28" spans="2:12" x14ac:dyDescent="0.2">
      <c r="B28" s="17" t="s">
        <v>62</v>
      </c>
      <c r="C28" s="17" t="s">
        <v>63</v>
      </c>
      <c r="D28" s="13">
        <v>71900</v>
      </c>
      <c r="E28" s="14">
        <v>0.85</v>
      </c>
      <c r="F28" s="18">
        <f t="shared" si="0"/>
        <v>61115</v>
      </c>
      <c r="G28" s="16">
        <v>10</v>
      </c>
      <c r="H28" s="19">
        <f t="shared" si="1"/>
        <v>10</v>
      </c>
      <c r="I28" s="43" t="s">
        <v>64</v>
      </c>
      <c r="J28" s="43"/>
      <c r="K28" s="43"/>
      <c r="L28" s="43"/>
    </row>
    <row r="29" spans="2:12" x14ac:dyDescent="0.2">
      <c r="B29" s="17" t="s">
        <v>65</v>
      </c>
      <c r="C29" s="17" t="s">
        <v>66</v>
      </c>
      <c r="D29" s="13">
        <v>49500</v>
      </c>
      <c r="E29" s="14">
        <v>0.9</v>
      </c>
      <c r="F29" s="18">
        <f t="shared" si="0"/>
        <v>44550</v>
      </c>
      <c r="G29" s="16">
        <v>11</v>
      </c>
      <c r="H29" s="19">
        <f t="shared" si="1"/>
        <v>11</v>
      </c>
      <c r="I29" s="43" t="s">
        <v>67</v>
      </c>
      <c r="J29" s="43"/>
      <c r="K29" s="43"/>
      <c r="L29" s="43"/>
    </row>
    <row r="30" spans="2:12" x14ac:dyDescent="0.2">
      <c r="B30" s="17" t="s">
        <v>68</v>
      </c>
      <c r="C30" s="17" t="s">
        <v>69</v>
      </c>
      <c r="D30" s="13">
        <v>94300</v>
      </c>
      <c r="E30" s="14">
        <v>0.8</v>
      </c>
      <c r="F30" s="18">
        <f t="shared" si="0"/>
        <v>75440</v>
      </c>
      <c r="G30" s="16">
        <v>12</v>
      </c>
      <c r="H30" s="19">
        <f t="shared" si="1"/>
        <v>12</v>
      </c>
      <c r="I30" s="43" t="s">
        <v>70</v>
      </c>
      <c r="J30" s="43"/>
      <c r="K30" s="43"/>
      <c r="L30" s="43"/>
    </row>
    <row r="31" spans="2:12" x14ac:dyDescent="0.2">
      <c r="B31" s="42" t="s">
        <v>71</v>
      </c>
      <c r="C31" s="42"/>
      <c r="D31" s="7">
        <f>SUM(D17:D30)</f>
        <v>1026000</v>
      </c>
      <c r="E31" s="20">
        <f>F31/D31</f>
        <v>0.80121247563352826</v>
      </c>
      <c r="F31" s="7">
        <f>SUM(F17:F30)</f>
        <v>822044</v>
      </c>
    </row>
    <row r="33" spans="2:16" x14ac:dyDescent="0.2">
      <c r="B33" s="39" t="s">
        <v>72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2:16" x14ac:dyDescent="0.2">
      <c r="B34" s="4" t="s">
        <v>73</v>
      </c>
      <c r="C34" s="5" t="s">
        <v>74</v>
      </c>
      <c r="D34" s="21">
        <v>1</v>
      </c>
      <c r="E34" s="21">
        <v>2</v>
      </c>
      <c r="F34" s="21">
        <v>3</v>
      </c>
      <c r="G34" s="21">
        <v>4</v>
      </c>
      <c r="H34" s="21">
        <v>5</v>
      </c>
      <c r="I34" s="21">
        <v>6</v>
      </c>
      <c r="J34" s="21">
        <v>7</v>
      </c>
      <c r="K34" s="21">
        <v>8</v>
      </c>
      <c r="L34" s="21">
        <v>9</v>
      </c>
      <c r="M34" s="21">
        <v>10</v>
      </c>
      <c r="N34" s="21">
        <v>11</v>
      </c>
      <c r="O34" s="21">
        <v>12</v>
      </c>
      <c r="P34" s="21">
        <v>13</v>
      </c>
    </row>
    <row r="35" spans="2:16" x14ac:dyDescent="0.2">
      <c r="B35" s="11" t="s">
        <v>75</v>
      </c>
      <c r="C35" s="1" t="s">
        <v>76</v>
      </c>
      <c r="D35" s="13">
        <v>0</v>
      </c>
      <c r="E35" s="13">
        <v>0</v>
      </c>
      <c r="F35" s="13">
        <v>8000</v>
      </c>
      <c r="G35" s="13">
        <v>12000</v>
      </c>
      <c r="H35" s="13">
        <v>25000</v>
      </c>
      <c r="I35" s="13">
        <v>30000</v>
      </c>
      <c r="J35" s="13">
        <v>35000</v>
      </c>
      <c r="K35" s="13">
        <v>40000</v>
      </c>
      <c r="L35" s="13">
        <v>45000</v>
      </c>
      <c r="M35" s="13">
        <v>45000</v>
      </c>
      <c r="N35" s="13">
        <v>50000</v>
      </c>
      <c r="O35" s="13">
        <v>50000</v>
      </c>
      <c r="P35" s="13">
        <v>55000</v>
      </c>
    </row>
    <row r="36" spans="2:16" x14ac:dyDescent="0.2">
      <c r="B36" s="11" t="s">
        <v>77</v>
      </c>
      <c r="C36" s="1" t="s">
        <v>76</v>
      </c>
      <c r="D36" s="13">
        <v>0</v>
      </c>
      <c r="E36" s="13">
        <v>0</v>
      </c>
      <c r="F36" s="13">
        <v>150000</v>
      </c>
      <c r="G36" s="13">
        <v>0</v>
      </c>
      <c r="H36" s="13">
        <v>0</v>
      </c>
      <c r="I36" s="13">
        <v>0</v>
      </c>
      <c r="J36" s="13">
        <v>0</v>
      </c>
      <c r="K36" s="13">
        <v>60000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</row>
    <row r="38" spans="2:16" x14ac:dyDescent="0.2">
      <c r="B38" s="39" t="s">
        <v>78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2:16" ht="42" customHeight="1" x14ac:dyDescent="0.2">
      <c r="B39" s="4" t="s">
        <v>79</v>
      </c>
      <c r="C39" s="4" t="s">
        <v>80</v>
      </c>
      <c r="D39" s="5" t="s">
        <v>81</v>
      </c>
      <c r="E39" s="5" t="s">
        <v>82</v>
      </c>
      <c r="F39" s="5" t="s">
        <v>83</v>
      </c>
      <c r="G39" s="5" t="s">
        <v>26</v>
      </c>
      <c r="H39" s="41" t="s">
        <v>84</v>
      </c>
      <c r="I39" s="41"/>
      <c r="J39" s="41"/>
      <c r="K39" s="41"/>
      <c r="L39" s="41"/>
    </row>
    <row r="40" spans="2:16" x14ac:dyDescent="0.2">
      <c r="B40" s="17" t="s">
        <v>85</v>
      </c>
      <c r="C40" s="17" t="s">
        <v>86</v>
      </c>
      <c r="D40" s="13">
        <v>96400</v>
      </c>
      <c r="E40" s="14">
        <v>0.6</v>
      </c>
      <c r="F40" s="18">
        <f t="shared" ref="F40:F59" si="2">D40*E40</f>
        <v>57840</v>
      </c>
      <c r="G40" s="16">
        <v>2</v>
      </c>
      <c r="H40" s="43" t="s">
        <v>87</v>
      </c>
      <c r="I40" s="43"/>
      <c r="J40" s="43"/>
      <c r="K40" s="43"/>
      <c r="L40" s="43"/>
    </row>
    <row r="41" spans="2:16" x14ac:dyDescent="0.2">
      <c r="B41" s="17" t="s">
        <v>88</v>
      </c>
      <c r="C41" s="17" t="s">
        <v>86</v>
      </c>
      <c r="D41" s="13">
        <v>96400</v>
      </c>
      <c r="E41" s="14">
        <v>0.4</v>
      </c>
      <c r="F41" s="18">
        <f t="shared" si="2"/>
        <v>38560</v>
      </c>
      <c r="G41" s="16">
        <v>7</v>
      </c>
      <c r="H41" s="43" t="s">
        <v>89</v>
      </c>
      <c r="I41" s="43"/>
      <c r="J41" s="43"/>
      <c r="K41" s="43"/>
      <c r="L41" s="43"/>
    </row>
    <row r="42" spans="2:16" x14ac:dyDescent="0.2">
      <c r="B42" s="17" t="s">
        <v>90</v>
      </c>
      <c r="C42" s="17" t="s">
        <v>91</v>
      </c>
      <c r="D42" s="13">
        <v>41800</v>
      </c>
      <c r="E42" s="14">
        <v>1</v>
      </c>
      <c r="F42" s="18">
        <f t="shared" si="2"/>
        <v>41800</v>
      </c>
      <c r="G42" s="16">
        <v>4</v>
      </c>
      <c r="H42" s="43" t="s">
        <v>92</v>
      </c>
      <c r="I42" s="43"/>
      <c r="J42" s="43"/>
      <c r="K42" s="43"/>
      <c r="L42" s="43"/>
    </row>
    <row r="43" spans="2:16" x14ac:dyDescent="0.2">
      <c r="B43" s="17" t="s">
        <v>93</v>
      </c>
      <c r="C43" s="17" t="s">
        <v>94</v>
      </c>
      <c r="D43" s="13">
        <v>58300</v>
      </c>
      <c r="E43" s="14">
        <v>1</v>
      </c>
      <c r="F43" s="18">
        <f t="shared" si="2"/>
        <v>58300</v>
      </c>
      <c r="G43" s="16">
        <v>3</v>
      </c>
      <c r="H43" s="43" t="s">
        <v>95</v>
      </c>
      <c r="I43" s="43"/>
      <c r="J43" s="43"/>
      <c r="K43" s="43"/>
      <c r="L43" s="43"/>
    </row>
    <row r="44" spans="2:16" x14ac:dyDescent="0.2">
      <c r="B44" s="17" t="s">
        <v>96</v>
      </c>
      <c r="C44" s="17" t="s">
        <v>97</v>
      </c>
      <c r="D44" s="13">
        <v>12600</v>
      </c>
      <c r="E44" s="14">
        <v>1</v>
      </c>
      <c r="F44" s="18">
        <f t="shared" si="2"/>
        <v>12600</v>
      </c>
      <c r="G44" s="16">
        <v>5</v>
      </c>
      <c r="H44" s="43" t="s">
        <v>98</v>
      </c>
      <c r="I44" s="43"/>
      <c r="J44" s="43"/>
      <c r="K44" s="43"/>
      <c r="L44" s="43"/>
    </row>
    <row r="45" spans="2:16" x14ac:dyDescent="0.2">
      <c r="B45" s="17" t="s">
        <v>99</v>
      </c>
      <c r="C45" s="17" t="s">
        <v>100</v>
      </c>
      <c r="D45" s="13">
        <v>47200</v>
      </c>
      <c r="E45" s="14">
        <v>1</v>
      </c>
      <c r="F45" s="18">
        <f t="shared" si="2"/>
        <v>47200</v>
      </c>
      <c r="G45" s="16">
        <v>2</v>
      </c>
      <c r="H45" s="43" t="s">
        <v>101</v>
      </c>
      <c r="I45" s="43"/>
      <c r="J45" s="43"/>
      <c r="K45" s="43"/>
      <c r="L45" s="43"/>
    </row>
    <row r="46" spans="2:16" x14ac:dyDescent="0.2">
      <c r="B46" s="17" t="s">
        <v>102</v>
      </c>
      <c r="C46" s="17" t="s">
        <v>103</v>
      </c>
      <c r="D46" s="13">
        <v>33900</v>
      </c>
      <c r="E46" s="14">
        <v>0.5</v>
      </c>
      <c r="F46" s="18">
        <f t="shared" si="2"/>
        <v>16950</v>
      </c>
      <c r="G46" s="16">
        <v>6</v>
      </c>
      <c r="H46" s="43" t="s">
        <v>104</v>
      </c>
      <c r="I46" s="43"/>
      <c r="J46" s="43"/>
      <c r="K46" s="43"/>
      <c r="L46" s="43"/>
    </row>
    <row r="47" spans="2:16" x14ac:dyDescent="0.2">
      <c r="B47" s="17" t="s">
        <v>105</v>
      </c>
      <c r="C47" s="17" t="s">
        <v>103</v>
      </c>
      <c r="D47" s="13">
        <v>33900</v>
      </c>
      <c r="E47" s="14">
        <v>0.5</v>
      </c>
      <c r="F47" s="18">
        <f t="shared" si="2"/>
        <v>16950</v>
      </c>
      <c r="G47" s="16">
        <v>10</v>
      </c>
      <c r="H47" s="43" t="s">
        <v>104</v>
      </c>
      <c r="I47" s="43"/>
      <c r="J47" s="43"/>
      <c r="K47" s="43"/>
      <c r="L47" s="43"/>
    </row>
    <row r="48" spans="2:16" x14ac:dyDescent="0.2">
      <c r="B48" s="17" t="s">
        <v>106</v>
      </c>
      <c r="C48" s="17" t="s">
        <v>107</v>
      </c>
      <c r="D48" s="13">
        <v>28700</v>
      </c>
      <c r="E48" s="14">
        <v>1</v>
      </c>
      <c r="F48" s="18">
        <f t="shared" si="2"/>
        <v>28700</v>
      </c>
      <c r="G48" s="16">
        <v>1</v>
      </c>
      <c r="H48" s="43" t="s">
        <v>108</v>
      </c>
      <c r="I48" s="43"/>
      <c r="J48" s="43"/>
      <c r="K48" s="43"/>
      <c r="L48" s="43"/>
    </row>
    <row r="49" spans="2:16" x14ac:dyDescent="0.2">
      <c r="B49" s="17" t="s">
        <v>109</v>
      </c>
      <c r="C49" s="17" t="s">
        <v>110</v>
      </c>
      <c r="D49" s="13">
        <v>22400</v>
      </c>
      <c r="E49" s="14">
        <v>1</v>
      </c>
      <c r="F49" s="18">
        <f t="shared" si="2"/>
        <v>22400</v>
      </c>
      <c r="G49" s="16">
        <v>8</v>
      </c>
      <c r="H49" s="43" t="s">
        <v>111</v>
      </c>
      <c r="I49" s="43"/>
      <c r="J49" s="43"/>
      <c r="K49" s="43"/>
      <c r="L49" s="43"/>
    </row>
    <row r="50" spans="2:16" x14ac:dyDescent="0.2">
      <c r="B50" s="17" t="s">
        <v>112</v>
      </c>
      <c r="C50" s="17" t="s">
        <v>113</v>
      </c>
      <c r="D50" s="13">
        <v>36800</v>
      </c>
      <c r="E50" s="14">
        <v>1</v>
      </c>
      <c r="F50" s="18">
        <f t="shared" si="2"/>
        <v>36800</v>
      </c>
      <c r="G50" s="16">
        <v>3</v>
      </c>
      <c r="H50" s="43" t="s">
        <v>114</v>
      </c>
      <c r="I50" s="43"/>
      <c r="J50" s="43"/>
      <c r="K50" s="43"/>
      <c r="L50" s="43"/>
    </row>
    <row r="51" spans="2:16" x14ac:dyDescent="0.2">
      <c r="B51" s="17" t="s">
        <v>115</v>
      </c>
      <c r="C51" s="17" t="s">
        <v>116</v>
      </c>
      <c r="D51" s="13">
        <v>14300</v>
      </c>
      <c r="E51" s="14">
        <v>0.5</v>
      </c>
      <c r="F51" s="18">
        <f t="shared" si="2"/>
        <v>7150</v>
      </c>
      <c r="G51" s="16">
        <v>9</v>
      </c>
      <c r="H51" s="43" t="s">
        <v>117</v>
      </c>
      <c r="I51" s="43"/>
      <c r="J51" s="43"/>
      <c r="K51" s="43"/>
      <c r="L51" s="43"/>
    </row>
    <row r="52" spans="2:16" x14ac:dyDescent="0.2">
      <c r="B52" s="17" t="s">
        <v>118</v>
      </c>
      <c r="C52" s="17" t="s">
        <v>119</v>
      </c>
      <c r="D52" s="13">
        <v>9800</v>
      </c>
      <c r="E52" s="14">
        <v>1</v>
      </c>
      <c r="F52" s="18">
        <f t="shared" si="2"/>
        <v>9800</v>
      </c>
      <c r="G52" s="16">
        <v>6</v>
      </c>
      <c r="H52" s="43" t="s">
        <v>120</v>
      </c>
      <c r="I52" s="43"/>
      <c r="J52" s="43"/>
      <c r="K52" s="43"/>
      <c r="L52" s="43"/>
    </row>
    <row r="53" spans="2:16" x14ac:dyDescent="0.2">
      <c r="B53" s="17" t="s">
        <v>121</v>
      </c>
      <c r="C53" s="17" t="s">
        <v>122</v>
      </c>
      <c r="D53" s="13">
        <v>17500</v>
      </c>
      <c r="E53" s="14">
        <v>1</v>
      </c>
      <c r="F53" s="18">
        <f t="shared" si="2"/>
        <v>17500</v>
      </c>
      <c r="G53" s="16">
        <v>11</v>
      </c>
      <c r="H53" s="43" t="s">
        <v>123</v>
      </c>
      <c r="I53" s="43"/>
      <c r="J53" s="43"/>
      <c r="K53" s="43"/>
      <c r="L53" s="43"/>
    </row>
    <row r="54" spans="2:16" x14ac:dyDescent="0.2">
      <c r="B54" s="17" t="s">
        <v>124</v>
      </c>
      <c r="C54" s="17" t="s">
        <v>125</v>
      </c>
      <c r="D54" s="13">
        <v>55000</v>
      </c>
      <c r="E54" s="14">
        <v>1</v>
      </c>
      <c r="F54" s="18">
        <f t="shared" si="2"/>
        <v>55000</v>
      </c>
      <c r="G54" s="16">
        <v>5</v>
      </c>
      <c r="H54" s="43" t="s">
        <v>126</v>
      </c>
      <c r="I54" s="43"/>
      <c r="J54" s="43"/>
      <c r="K54" s="43"/>
      <c r="L54" s="43"/>
    </row>
    <row r="55" spans="2:16" x14ac:dyDescent="0.2">
      <c r="B55" s="17" t="s">
        <v>127</v>
      </c>
      <c r="C55" s="17" t="s">
        <v>128</v>
      </c>
      <c r="D55" s="13">
        <v>22000</v>
      </c>
      <c r="E55" s="14">
        <v>1</v>
      </c>
      <c r="F55" s="18">
        <f t="shared" si="2"/>
        <v>22000</v>
      </c>
      <c r="G55" s="16">
        <v>8</v>
      </c>
      <c r="H55" s="43" t="s">
        <v>129</v>
      </c>
      <c r="I55" s="43"/>
      <c r="J55" s="43"/>
      <c r="K55" s="43"/>
      <c r="L55" s="43"/>
    </row>
    <row r="56" spans="2:16" x14ac:dyDescent="0.2">
      <c r="B56" s="17" t="s">
        <v>130</v>
      </c>
      <c r="C56" s="17" t="s">
        <v>125</v>
      </c>
      <c r="D56" s="13">
        <v>38000</v>
      </c>
      <c r="E56" s="14">
        <v>1</v>
      </c>
      <c r="F56" s="18">
        <f t="shared" si="2"/>
        <v>38000</v>
      </c>
      <c r="G56" s="16">
        <v>9</v>
      </c>
      <c r="H56" s="43" t="s">
        <v>131</v>
      </c>
      <c r="I56" s="43"/>
      <c r="J56" s="43"/>
      <c r="K56" s="43"/>
      <c r="L56" s="43"/>
    </row>
    <row r="57" spans="2:16" x14ac:dyDescent="0.2">
      <c r="B57" s="17" t="s">
        <v>132</v>
      </c>
      <c r="C57" s="17" t="s">
        <v>125</v>
      </c>
      <c r="D57" s="13">
        <v>48000</v>
      </c>
      <c r="E57" s="14">
        <v>1</v>
      </c>
      <c r="F57" s="18">
        <f t="shared" si="2"/>
        <v>48000</v>
      </c>
      <c r="G57" s="16">
        <v>11</v>
      </c>
      <c r="H57" s="43" t="s">
        <v>131</v>
      </c>
      <c r="I57" s="43"/>
      <c r="J57" s="43"/>
      <c r="K57" s="43"/>
      <c r="L57" s="43"/>
    </row>
    <row r="58" spans="2:16" x14ac:dyDescent="0.2">
      <c r="B58" s="17" t="s">
        <v>133</v>
      </c>
      <c r="C58" s="17" t="s">
        <v>134</v>
      </c>
      <c r="D58" s="13">
        <v>30000</v>
      </c>
      <c r="E58" s="14">
        <v>1</v>
      </c>
      <c r="F58" s="18">
        <f t="shared" si="2"/>
        <v>30000</v>
      </c>
      <c r="G58" s="16">
        <v>12</v>
      </c>
      <c r="H58" s="43" t="s">
        <v>135</v>
      </c>
      <c r="I58" s="43"/>
      <c r="J58" s="43"/>
      <c r="K58" s="43"/>
      <c r="L58" s="43"/>
    </row>
    <row r="59" spans="2:16" x14ac:dyDescent="0.2">
      <c r="B59" s="17" t="s">
        <v>136</v>
      </c>
      <c r="C59" s="17" t="s">
        <v>125</v>
      </c>
      <c r="D59" s="13">
        <v>40000</v>
      </c>
      <c r="E59" s="14">
        <v>1</v>
      </c>
      <c r="F59" s="18">
        <f t="shared" si="2"/>
        <v>40000</v>
      </c>
      <c r="G59" s="16">
        <v>13</v>
      </c>
      <c r="H59" s="43" t="s">
        <v>131</v>
      </c>
      <c r="I59" s="43"/>
      <c r="J59" s="43"/>
      <c r="K59" s="43"/>
      <c r="L59" s="43"/>
    </row>
    <row r="60" spans="2:16" x14ac:dyDescent="0.2">
      <c r="B60" s="42" t="s">
        <v>137</v>
      </c>
      <c r="C60" s="42"/>
      <c r="D60" s="7">
        <f>SUM(D40:D59)</f>
        <v>783000</v>
      </c>
      <c r="E60" s="20">
        <f>F60/D60</f>
        <v>0.8244572158365262</v>
      </c>
      <c r="F60" s="7">
        <f>SUM(F40:F59)</f>
        <v>645550</v>
      </c>
    </row>
    <row r="62" spans="2:16" x14ac:dyDescent="0.2">
      <c r="B62" s="39" t="s">
        <v>138</v>
      </c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2:16" ht="30" customHeight="1" x14ac:dyDescent="0.2">
      <c r="B63" s="4" t="s">
        <v>73</v>
      </c>
      <c r="C63" s="5" t="s">
        <v>139</v>
      </c>
      <c r="D63" s="21">
        <v>1</v>
      </c>
      <c r="E63" s="21">
        <v>2</v>
      </c>
      <c r="F63" s="21">
        <v>3</v>
      </c>
      <c r="G63" s="21">
        <v>4</v>
      </c>
      <c r="H63" s="21">
        <v>5</v>
      </c>
      <c r="I63" s="21">
        <v>6</v>
      </c>
      <c r="J63" s="21">
        <v>7</v>
      </c>
      <c r="K63" s="21">
        <v>8</v>
      </c>
      <c r="L63" s="21">
        <v>9</v>
      </c>
      <c r="M63" s="21">
        <v>10</v>
      </c>
      <c r="N63" s="21">
        <v>11</v>
      </c>
      <c r="O63" s="21">
        <v>12</v>
      </c>
      <c r="P63" s="21">
        <v>13</v>
      </c>
    </row>
    <row r="64" spans="2:16" x14ac:dyDescent="0.2">
      <c r="B64" s="11" t="s">
        <v>140</v>
      </c>
      <c r="C64" s="13">
        <v>98000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6">
        <v>0</v>
      </c>
      <c r="K64" s="16">
        <v>1</v>
      </c>
      <c r="L64" s="16">
        <v>0</v>
      </c>
      <c r="M64" s="16">
        <v>0</v>
      </c>
      <c r="N64" s="16">
        <v>0</v>
      </c>
      <c r="O64" s="16">
        <v>1</v>
      </c>
      <c r="P64" s="16">
        <v>0</v>
      </c>
    </row>
    <row r="65" spans="2:16" x14ac:dyDescent="0.2">
      <c r="B65" s="11" t="s">
        <v>141</v>
      </c>
      <c r="C65" s="13">
        <v>30500</v>
      </c>
      <c r="D65" s="16">
        <v>0</v>
      </c>
      <c r="E65" s="16">
        <v>0</v>
      </c>
      <c r="F65" s="16">
        <v>1</v>
      </c>
      <c r="G65" s="16">
        <v>0</v>
      </c>
      <c r="H65" s="16">
        <v>1</v>
      </c>
      <c r="I65" s="16">
        <v>0</v>
      </c>
      <c r="J65" s="16">
        <v>0</v>
      </c>
      <c r="K65" s="16">
        <v>1</v>
      </c>
      <c r="L65" s="16">
        <v>1</v>
      </c>
      <c r="M65" s="16">
        <v>0</v>
      </c>
      <c r="N65" s="16">
        <v>0</v>
      </c>
      <c r="O65" s="16">
        <v>1</v>
      </c>
      <c r="P65" s="16">
        <v>0</v>
      </c>
    </row>
    <row r="66" spans="2:16" x14ac:dyDescent="0.2">
      <c r="B66" s="11" t="s">
        <v>142</v>
      </c>
      <c r="C66" s="13">
        <v>14500</v>
      </c>
      <c r="D66" s="16">
        <v>0</v>
      </c>
      <c r="E66" s="16">
        <v>0</v>
      </c>
      <c r="F66" s="16">
        <v>0</v>
      </c>
      <c r="G66" s="16">
        <v>1</v>
      </c>
      <c r="H66" s="16">
        <v>0</v>
      </c>
      <c r="I66" s="16">
        <v>0</v>
      </c>
      <c r="J66" s="16">
        <v>0</v>
      </c>
      <c r="K66" s="16">
        <v>1</v>
      </c>
      <c r="L66" s="16">
        <v>0</v>
      </c>
      <c r="M66" s="16">
        <v>0</v>
      </c>
      <c r="N66" s="16">
        <v>0</v>
      </c>
      <c r="O66" s="16">
        <v>1</v>
      </c>
      <c r="P66" s="16">
        <v>0</v>
      </c>
    </row>
    <row r="67" spans="2:16" x14ac:dyDescent="0.2">
      <c r="B67" s="11" t="s">
        <v>143</v>
      </c>
      <c r="C67" s="13">
        <v>21000</v>
      </c>
      <c r="D67" s="16">
        <v>0</v>
      </c>
      <c r="E67" s="16">
        <v>1</v>
      </c>
      <c r="F67" s="16">
        <v>0</v>
      </c>
      <c r="G67" s="16">
        <v>0</v>
      </c>
      <c r="H67" s="16">
        <v>0</v>
      </c>
      <c r="I67" s="16">
        <v>1</v>
      </c>
      <c r="J67" s="16">
        <v>0</v>
      </c>
      <c r="K67" s="16">
        <v>0</v>
      </c>
      <c r="L67" s="16">
        <v>0</v>
      </c>
      <c r="M67" s="16">
        <v>1</v>
      </c>
      <c r="N67" s="16">
        <v>0</v>
      </c>
      <c r="O67" s="16">
        <v>0</v>
      </c>
      <c r="P67" s="16">
        <v>0</v>
      </c>
    </row>
    <row r="68" spans="2:16" x14ac:dyDescent="0.2">
      <c r="B68" s="11" t="s">
        <v>144</v>
      </c>
      <c r="C68" s="13">
        <v>17500</v>
      </c>
      <c r="D68" s="16">
        <v>0</v>
      </c>
      <c r="E68" s="16">
        <v>1</v>
      </c>
      <c r="F68" s="16">
        <v>0</v>
      </c>
      <c r="G68" s="16">
        <v>0</v>
      </c>
      <c r="H68" s="16">
        <v>0</v>
      </c>
      <c r="I68" s="16">
        <v>1</v>
      </c>
      <c r="J68" s="16">
        <v>0</v>
      </c>
      <c r="K68" s="16">
        <v>0</v>
      </c>
      <c r="L68" s="16">
        <v>0</v>
      </c>
      <c r="M68" s="16">
        <v>1</v>
      </c>
      <c r="N68" s="16">
        <v>0</v>
      </c>
      <c r="O68" s="16">
        <v>0</v>
      </c>
      <c r="P68" s="16">
        <v>0</v>
      </c>
    </row>
    <row r="69" spans="2:16" x14ac:dyDescent="0.2">
      <c r="B69" s="11" t="s">
        <v>145</v>
      </c>
      <c r="C69" s="13">
        <v>5700</v>
      </c>
      <c r="D69" s="16">
        <v>0</v>
      </c>
      <c r="E69" s="16">
        <v>0</v>
      </c>
      <c r="F69" s="16">
        <v>0</v>
      </c>
      <c r="G69" s="16">
        <v>1</v>
      </c>
      <c r="H69" s="16">
        <v>0</v>
      </c>
      <c r="I69" s="16">
        <v>0</v>
      </c>
      <c r="J69" s="16">
        <v>0</v>
      </c>
      <c r="K69" s="16">
        <v>0</v>
      </c>
      <c r="L69" s="16">
        <v>1</v>
      </c>
      <c r="M69" s="16">
        <v>0</v>
      </c>
      <c r="N69" s="16">
        <v>0</v>
      </c>
      <c r="O69" s="16">
        <v>0</v>
      </c>
      <c r="P69" s="16">
        <v>0</v>
      </c>
    </row>
    <row r="70" spans="2:16" x14ac:dyDescent="0.2">
      <c r="B70" s="11" t="s">
        <v>146</v>
      </c>
      <c r="C70" s="13">
        <v>6200</v>
      </c>
      <c r="D70" s="16">
        <v>0</v>
      </c>
      <c r="E70" s="16">
        <v>0</v>
      </c>
      <c r="F70" s="16">
        <v>1</v>
      </c>
      <c r="G70" s="16">
        <v>0</v>
      </c>
      <c r="H70" s="16">
        <v>0</v>
      </c>
      <c r="I70" s="16">
        <v>0</v>
      </c>
      <c r="J70" s="16">
        <v>0</v>
      </c>
      <c r="K70" s="16">
        <v>1</v>
      </c>
      <c r="L70" s="16">
        <v>0</v>
      </c>
      <c r="M70" s="16">
        <v>0</v>
      </c>
      <c r="N70" s="16">
        <v>0</v>
      </c>
      <c r="O70" s="16">
        <v>1</v>
      </c>
      <c r="P70" s="16">
        <v>0</v>
      </c>
    </row>
    <row r="71" spans="2:16" x14ac:dyDescent="0.2">
      <c r="B71" s="11" t="s">
        <v>147</v>
      </c>
      <c r="C71" s="13">
        <v>4500</v>
      </c>
      <c r="D71" s="16">
        <v>1</v>
      </c>
      <c r="E71" s="16">
        <v>1</v>
      </c>
      <c r="F71" s="16">
        <v>1</v>
      </c>
      <c r="G71" s="16">
        <v>1</v>
      </c>
      <c r="H71" s="16">
        <v>1</v>
      </c>
      <c r="I71" s="16">
        <v>1</v>
      </c>
      <c r="J71" s="16">
        <v>1</v>
      </c>
      <c r="K71" s="16">
        <v>1</v>
      </c>
      <c r="L71" s="16">
        <v>1</v>
      </c>
      <c r="M71" s="16">
        <v>1</v>
      </c>
      <c r="N71" s="16">
        <v>1</v>
      </c>
      <c r="O71" s="16">
        <v>1</v>
      </c>
      <c r="P71" s="16">
        <v>1</v>
      </c>
    </row>
    <row r="72" spans="2:16" x14ac:dyDescent="0.2">
      <c r="B72" s="11" t="s">
        <v>148</v>
      </c>
      <c r="C72" s="13">
        <v>9800</v>
      </c>
      <c r="D72" s="16">
        <v>0</v>
      </c>
      <c r="E72" s="16">
        <v>0</v>
      </c>
      <c r="F72" s="16">
        <v>0</v>
      </c>
      <c r="G72" s="16">
        <v>1</v>
      </c>
      <c r="H72" s="16">
        <v>0</v>
      </c>
      <c r="I72" s="16">
        <v>0</v>
      </c>
      <c r="J72" s="16">
        <v>0</v>
      </c>
      <c r="K72" s="16">
        <v>1</v>
      </c>
      <c r="L72" s="16">
        <v>0</v>
      </c>
      <c r="M72" s="16">
        <v>0</v>
      </c>
      <c r="N72" s="16">
        <v>0</v>
      </c>
      <c r="O72" s="16">
        <v>1</v>
      </c>
      <c r="P72" s="16">
        <v>0</v>
      </c>
    </row>
    <row r="73" spans="2:16" x14ac:dyDescent="0.2">
      <c r="B73" s="11" t="s">
        <v>149</v>
      </c>
      <c r="C73" s="1" t="s">
        <v>150</v>
      </c>
      <c r="D73" s="16">
        <v>1</v>
      </c>
      <c r="E73" s="16">
        <v>0</v>
      </c>
      <c r="F73" s="16">
        <v>0</v>
      </c>
      <c r="G73" s="16">
        <v>0</v>
      </c>
      <c r="H73" s="16">
        <v>1</v>
      </c>
      <c r="I73" s="16">
        <v>0</v>
      </c>
      <c r="J73" s="16">
        <v>0</v>
      </c>
      <c r="K73" s="16">
        <v>0</v>
      </c>
      <c r="L73" s="16">
        <v>1</v>
      </c>
      <c r="M73" s="16">
        <v>0</v>
      </c>
      <c r="N73" s="16">
        <v>0</v>
      </c>
      <c r="O73" s="16">
        <v>0</v>
      </c>
      <c r="P73" s="16">
        <v>0</v>
      </c>
    </row>
  </sheetData>
  <mergeCells count="54">
    <mergeCell ref="H58:L58"/>
    <mergeCell ref="H59:L59"/>
    <mergeCell ref="B60:C60"/>
    <mergeCell ref="B62:P62"/>
    <mergeCell ref="H53:L53"/>
    <mergeCell ref="H54:L54"/>
    <mergeCell ref="H55:L55"/>
    <mergeCell ref="H56:L56"/>
    <mergeCell ref="H57:L57"/>
    <mergeCell ref="H48:L48"/>
    <mergeCell ref="H49:L49"/>
    <mergeCell ref="H50:L50"/>
    <mergeCell ref="H51:L51"/>
    <mergeCell ref="H52:L52"/>
    <mergeCell ref="H43:L43"/>
    <mergeCell ref="H44:L44"/>
    <mergeCell ref="H45:L45"/>
    <mergeCell ref="H46:L46"/>
    <mergeCell ref="H47:L47"/>
    <mergeCell ref="B38:P38"/>
    <mergeCell ref="H39:L39"/>
    <mergeCell ref="H40:L40"/>
    <mergeCell ref="H41:L41"/>
    <mergeCell ref="H42:L42"/>
    <mergeCell ref="I28:L28"/>
    <mergeCell ref="I29:L29"/>
    <mergeCell ref="I30:L30"/>
    <mergeCell ref="B31:C31"/>
    <mergeCell ref="B33:P33"/>
    <mergeCell ref="I23:L23"/>
    <mergeCell ref="I24:L24"/>
    <mergeCell ref="I25:L25"/>
    <mergeCell ref="I26:L26"/>
    <mergeCell ref="I27:L27"/>
    <mergeCell ref="I18:L18"/>
    <mergeCell ref="I19:L19"/>
    <mergeCell ref="I20:L20"/>
    <mergeCell ref="I21:L21"/>
    <mergeCell ref="I22:L22"/>
    <mergeCell ref="D12:J12"/>
    <mergeCell ref="D13:J13"/>
    <mergeCell ref="B15:P15"/>
    <mergeCell ref="I16:L16"/>
    <mergeCell ref="I17:L17"/>
    <mergeCell ref="D7:J7"/>
    <mergeCell ref="D8:J8"/>
    <mergeCell ref="D9:J9"/>
    <mergeCell ref="D10:J10"/>
    <mergeCell ref="D11:J11"/>
    <mergeCell ref="B1:P1"/>
    <mergeCell ref="B2:P2"/>
    <mergeCell ref="B4:P4"/>
    <mergeCell ref="D5:J5"/>
    <mergeCell ref="D6:J6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95959"/>
    <pageSetUpPr fitToPage="1"/>
  </sheetPr>
  <dimension ref="A1:P43"/>
  <sheetViews>
    <sheetView showGridLines="0" zoomScale="125" workbookViewId="0">
      <pane xSplit="2" ySplit="5" topLeftCell="H16" activePane="bottomRight" state="frozen"/>
      <selection pane="topRight" activeCell="C1" sqref="C1"/>
      <selection pane="bottomLeft" activeCell="A6" sqref="A6"/>
      <selection pane="bottomRight" activeCell="O30" sqref="O30"/>
    </sheetView>
  </sheetViews>
  <sheetFormatPr baseColWidth="10" defaultColWidth="8.83203125" defaultRowHeight="15" x14ac:dyDescent="0.2"/>
  <cols>
    <col min="1" max="1" width="50.6640625" customWidth="1"/>
    <col min="2" max="2" width="30.6640625" customWidth="1"/>
    <col min="3" max="15" width="12.33203125" customWidth="1"/>
    <col min="16" max="16" width="14.33203125" customWidth="1"/>
  </cols>
  <sheetData>
    <row r="1" spans="1:16" ht="21" x14ac:dyDescent="0.2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x14ac:dyDescent="0.2">
      <c r="A2" s="38" t="s">
        <v>152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x14ac:dyDescent="0.2">
      <c r="A4" s="4" t="s">
        <v>153</v>
      </c>
      <c r="B4" s="4" t="s">
        <v>154</v>
      </c>
      <c r="C4" s="22">
        <f>COLUMNS($C$4:C$4)</f>
        <v>1</v>
      </c>
      <c r="D4" s="22">
        <f>COLUMNS($C$4:D$4)</f>
        <v>2</v>
      </c>
      <c r="E4" s="22">
        <f>COLUMNS($C$4:E$4)</f>
        <v>3</v>
      </c>
      <c r="F4" s="22">
        <f>COLUMNS($C$4:F$4)</f>
        <v>4</v>
      </c>
      <c r="G4" s="22">
        <f>COLUMNS($C$4:G$4)</f>
        <v>5</v>
      </c>
      <c r="H4" s="22">
        <f>COLUMNS($C$4:H$4)</f>
        <v>6</v>
      </c>
      <c r="I4" s="22">
        <f>COLUMNS($C$4:I$4)</f>
        <v>7</v>
      </c>
      <c r="J4" s="22">
        <f>COLUMNS($C$4:J$4)</f>
        <v>8</v>
      </c>
      <c r="K4" s="22">
        <f>COLUMNS($C$4:K$4)</f>
        <v>9</v>
      </c>
      <c r="L4" s="22">
        <f>COLUMNS($C$4:L$4)</f>
        <v>10</v>
      </c>
      <c r="M4" s="22">
        <f>COLUMNS($C$4:M$4)</f>
        <v>11</v>
      </c>
      <c r="N4" s="22">
        <f>COLUMNS($C$4:N$4)</f>
        <v>12</v>
      </c>
      <c r="O4" s="22">
        <f>COLUMNS($C$4:O$4)</f>
        <v>13</v>
      </c>
      <c r="P4" s="5" t="s">
        <v>157</v>
      </c>
    </row>
    <row r="5" spans="1:16" x14ac:dyDescent="0.2">
      <c r="A5" s="23" t="s">
        <v>155</v>
      </c>
      <c r="B5" s="24" t="s">
        <v>156</v>
      </c>
      <c r="C5" s="25">
        <f>Assumptions!$C$5</f>
        <v>46325</v>
      </c>
      <c r="D5" s="25">
        <f>C5+Assumptions!$C$10</f>
        <v>46332</v>
      </c>
      <c r="E5" s="25">
        <f>D5+Assumptions!$C$10</f>
        <v>46339</v>
      </c>
      <c r="F5" s="25">
        <f>E5+Assumptions!$C$10</f>
        <v>46346</v>
      </c>
      <c r="G5" s="25">
        <f>F5+Assumptions!$C$10</f>
        <v>46353</v>
      </c>
      <c r="H5" s="25">
        <f>G5+Assumptions!$C$10</f>
        <v>46360</v>
      </c>
      <c r="I5" s="25">
        <f>H5+Assumptions!$C$10</f>
        <v>46367</v>
      </c>
      <c r="J5" s="25">
        <f>I5+Assumptions!$C$10</f>
        <v>46374</v>
      </c>
      <c r="K5" s="25">
        <f>J5+Assumptions!$C$10</f>
        <v>46381</v>
      </c>
      <c r="L5" s="25">
        <f>K5+Assumptions!$C$10</f>
        <v>46388</v>
      </c>
      <c r="M5" s="25">
        <f>L5+Assumptions!$C$10</f>
        <v>46395</v>
      </c>
      <c r="N5" s="25">
        <f>M5+Assumptions!$C$10</f>
        <v>46402</v>
      </c>
      <c r="O5" s="25">
        <f>N5+Assumptions!$C$10</f>
        <v>46409</v>
      </c>
    </row>
    <row r="7" spans="1:16" x14ac:dyDescent="0.2">
      <c r="A7" s="26" t="s">
        <v>158</v>
      </c>
      <c r="B7" s="24" t="s">
        <v>159</v>
      </c>
      <c r="C7" s="27">
        <f>Assumptions!$C$6</f>
        <v>85000</v>
      </c>
      <c r="D7" s="27">
        <f t="shared" ref="D7:O7" si="0">C30</f>
        <v>108535</v>
      </c>
      <c r="E7" s="27">
        <f t="shared" si="0"/>
        <v>73070</v>
      </c>
      <c r="F7" s="27">
        <f t="shared" si="0"/>
        <v>94834</v>
      </c>
      <c r="G7" s="27">
        <f t="shared" si="0"/>
        <v>130494</v>
      </c>
      <c r="H7" s="27">
        <f t="shared" si="0"/>
        <v>83361.008403361338</v>
      </c>
      <c r="I7" s="27">
        <f t="shared" si="0"/>
        <v>98391.008403361338</v>
      </c>
      <c r="J7" s="27">
        <f t="shared" si="0"/>
        <v>156491.00840336134</v>
      </c>
      <c r="K7" s="27">
        <f t="shared" si="0"/>
        <v>76091.008403361338</v>
      </c>
      <c r="L7" s="27">
        <f t="shared" si="0"/>
        <v>68905.252100840327</v>
      </c>
      <c r="M7" s="27">
        <f t="shared" si="0"/>
        <v>115070.25210084033</v>
      </c>
      <c r="N7" s="27">
        <f t="shared" si="0"/>
        <v>139620.25210084033</v>
      </c>
      <c r="O7" s="27">
        <f t="shared" si="0"/>
        <v>71560.252100840327</v>
      </c>
      <c r="P7" s="27">
        <f>C7</f>
        <v>85000</v>
      </c>
    </row>
    <row r="9" spans="1:16" x14ac:dyDescent="0.2">
      <c r="A9" s="39" t="s">
        <v>160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x14ac:dyDescent="0.2">
      <c r="A10" s="23" t="s">
        <v>161</v>
      </c>
      <c r="B10" s="24" t="s">
        <v>162</v>
      </c>
      <c r="C10" s="28">
        <f>SUMIF(Assumptions!$H$17:$H$30,C$4,Assumptions!$F$17:$F$30)</f>
        <v>94735</v>
      </c>
      <c r="D10" s="28">
        <f>SUMIF(Assumptions!$H$17:$H$30,D$4,Assumptions!$F$17:$F$30)</f>
        <v>112575</v>
      </c>
      <c r="E10" s="28">
        <f>SUMIF(Assumptions!$H$17:$H$30,E$4,Assumptions!$F$17:$F$30)</f>
        <v>98064</v>
      </c>
      <c r="F10" s="28">
        <f>SUMIF(Assumptions!$H$17:$H$30,F$4,Assumptions!$F$17:$F$30)</f>
        <v>99960</v>
      </c>
      <c r="G10" s="28">
        <f>SUMIF(Assumptions!$H$17:$H$30,G$4,Assumptions!$F$17:$F$30)</f>
        <v>42840</v>
      </c>
      <c r="H10" s="28">
        <f>SUMIF(Assumptions!$H$17:$H$30,H$4,Assumptions!$F$17:$F$30)</f>
        <v>54780</v>
      </c>
      <c r="I10" s="28">
        <f>SUMIF(Assumptions!$H$17:$H$30,I$4,Assumptions!$F$17:$F$30)</f>
        <v>66160</v>
      </c>
      <c r="J10" s="28">
        <f>SUMIF(Assumptions!$H$17:$H$30,J$4,Assumptions!$F$17:$F$30)</f>
        <v>27500</v>
      </c>
      <c r="K10" s="28">
        <f>SUMIF(Assumptions!$H$17:$H$30,K$4,Assumptions!$F$17:$F$30)</f>
        <v>44325</v>
      </c>
      <c r="L10" s="28">
        <f>SUMIF(Assumptions!$H$17:$H$30,L$4,Assumptions!$F$17:$F$30)</f>
        <v>61115</v>
      </c>
      <c r="M10" s="28">
        <f>SUMIF(Assumptions!$H$17:$H$30,M$4,Assumptions!$F$17:$F$30)</f>
        <v>44550</v>
      </c>
      <c r="N10" s="28">
        <f>SUMIF(Assumptions!$H$17:$H$30,N$4,Assumptions!$F$17:$F$30)</f>
        <v>75440</v>
      </c>
      <c r="O10" s="28">
        <f>SUMIF(Assumptions!$H$17:$H$30,O$4,Assumptions!$F$17:$F$30)</f>
        <v>0</v>
      </c>
      <c r="P10" s="28">
        <f>SUM(C10:O10)</f>
        <v>822044</v>
      </c>
    </row>
    <row r="11" spans="1:16" x14ac:dyDescent="0.2">
      <c r="A11" s="23" t="s">
        <v>163</v>
      </c>
      <c r="B11" s="24" t="s">
        <v>164</v>
      </c>
      <c r="C11" s="28">
        <f>Assumptions!D35</f>
        <v>0</v>
      </c>
      <c r="D11" s="28">
        <f>Assumptions!E35</f>
        <v>0</v>
      </c>
      <c r="E11" s="28">
        <f>Assumptions!F35</f>
        <v>8000</v>
      </c>
      <c r="F11" s="28">
        <f>Assumptions!G35</f>
        <v>12000</v>
      </c>
      <c r="G11" s="28">
        <f>Assumptions!H35</f>
        <v>25000</v>
      </c>
      <c r="H11" s="28">
        <f>Assumptions!I35</f>
        <v>30000</v>
      </c>
      <c r="I11" s="28">
        <f>Assumptions!J35</f>
        <v>35000</v>
      </c>
      <c r="J11" s="28">
        <f>Assumptions!K35</f>
        <v>40000</v>
      </c>
      <c r="K11" s="28">
        <f>Assumptions!L35</f>
        <v>45000</v>
      </c>
      <c r="L11" s="28">
        <f>Assumptions!M35</f>
        <v>45000</v>
      </c>
      <c r="M11" s="28">
        <f>Assumptions!N35</f>
        <v>50000</v>
      </c>
      <c r="N11" s="28">
        <f>Assumptions!O35</f>
        <v>50000</v>
      </c>
      <c r="O11" s="28">
        <f>Assumptions!P35</f>
        <v>55000</v>
      </c>
      <c r="P11" s="28">
        <f>SUM(C11:O11)</f>
        <v>395000</v>
      </c>
    </row>
    <row r="12" spans="1:16" x14ac:dyDescent="0.2">
      <c r="A12" s="23" t="s">
        <v>165</v>
      </c>
      <c r="B12" s="24" t="s">
        <v>164</v>
      </c>
      <c r="C12" s="28">
        <f>Assumptions!D36</f>
        <v>0</v>
      </c>
      <c r="D12" s="28">
        <f>Assumptions!E36</f>
        <v>0</v>
      </c>
      <c r="E12" s="28">
        <f>Assumptions!F36</f>
        <v>150000</v>
      </c>
      <c r="F12" s="28">
        <f>Assumptions!G36</f>
        <v>0</v>
      </c>
      <c r="G12" s="28">
        <f>Assumptions!H36</f>
        <v>0</v>
      </c>
      <c r="H12" s="28">
        <f>Assumptions!I36</f>
        <v>0</v>
      </c>
      <c r="I12" s="28">
        <f>Assumptions!J36</f>
        <v>0</v>
      </c>
      <c r="J12" s="28">
        <f>Assumptions!K36</f>
        <v>60000</v>
      </c>
      <c r="K12" s="28">
        <f>Assumptions!L36</f>
        <v>0</v>
      </c>
      <c r="L12" s="28">
        <f>Assumptions!M36</f>
        <v>0</v>
      </c>
      <c r="M12" s="28">
        <f>Assumptions!N36</f>
        <v>0</v>
      </c>
      <c r="N12" s="28">
        <f>Assumptions!O36</f>
        <v>0</v>
      </c>
      <c r="O12" s="28">
        <f>Assumptions!P36</f>
        <v>0</v>
      </c>
      <c r="P12" s="28">
        <f>SUM(C12:O12)</f>
        <v>210000</v>
      </c>
    </row>
    <row r="13" spans="1:16" x14ac:dyDescent="0.2">
      <c r="A13" s="26" t="s">
        <v>166</v>
      </c>
      <c r="B13" s="24" t="s">
        <v>167</v>
      </c>
      <c r="C13" s="27">
        <f t="shared" ref="C13:O13" si="1">SUM(C10:C12)</f>
        <v>94735</v>
      </c>
      <c r="D13" s="27">
        <f t="shared" si="1"/>
        <v>112575</v>
      </c>
      <c r="E13" s="27">
        <f t="shared" si="1"/>
        <v>256064</v>
      </c>
      <c r="F13" s="27">
        <f t="shared" si="1"/>
        <v>111960</v>
      </c>
      <c r="G13" s="27">
        <f t="shared" si="1"/>
        <v>67840</v>
      </c>
      <c r="H13" s="27">
        <f t="shared" si="1"/>
        <v>84780</v>
      </c>
      <c r="I13" s="27">
        <f t="shared" si="1"/>
        <v>101160</v>
      </c>
      <c r="J13" s="27">
        <f t="shared" si="1"/>
        <v>127500</v>
      </c>
      <c r="K13" s="27">
        <f t="shared" si="1"/>
        <v>89325</v>
      </c>
      <c r="L13" s="27">
        <f t="shared" si="1"/>
        <v>106115</v>
      </c>
      <c r="M13" s="27">
        <f t="shared" si="1"/>
        <v>94550</v>
      </c>
      <c r="N13" s="27">
        <f t="shared" si="1"/>
        <v>125440</v>
      </c>
      <c r="O13" s="27">
        <f t="shared" si="1"/>
        <v>55000</v>
      </c>
      <c r="P13" s="27">
        <f>SUM(C13:O13)</f>
        <v>1427044</v>
      </c>
    </row>
    <row r="15" spans="1:16" x14ac:dyDescent="0.2">
      <c r="A15" s="39" t="s">
        <v>168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23" t="s">
        <v>169</v>
      </c>
      <c r="B16" s="24" t="s">
        <v>170</v>
      </c>
      <c r="C16" s="28">
        <f>SUMIF(Assumptions!$G$40:$G$59,C$4,Assumptions!$F$40:$F$59)</f>
        <v>28700</v>
      </c>
      <c r="D16" s="28">
        <f>SUMIF(Assumptions!$G$40:$G$59,D$4,Assumptions!$F$40:$F$59)</f>
        <v>105040</v>
      </c>
      <c r="E16" s="28">
        <f>SUMIF(Assumptions!$G$40:$G$59,E$4,Assumptions!$F$40:$F$59)</f>
        <v>95100</v>
      </c>
      <c r="F16" s="28">
        <f>SUMIF(Assumptions!$G$40:$G$59,F$4,Assumptions!$F$40:$F$59)</f>
        <v>41800</v>
      </c>
      <c r="G16" s="28">
        <f>SUMIF(Assumptions!$G$40:$G$59,G$4,Assumptions!$F$40:$F$59)</f>
        <v>67600</v>
      </c>
      <c r="H16" s="28">
        <f>SUMIF(Assumptions!$G$40:$G$59,H$4,Assumptions!$F$40:$F$59)</f>
        <v>26750</v>
      </c>
      <c r="I16" s="28">
        <f>SUMIF(Assumptions!$G$40:$G$59,I$4,Assumptions!$F$40:$F$59)</f>
        <v>38560</v>
      </c>
      <c r="J16" s="28">
        <f>SUMIF(Assumptions!$G$40:$G$59,J$4,Assumptions!$F$40:$F$59)</f>
        <v>44400</v>
      </c>
      <c r="K16" s="28">
        <f>SUMIF(Assumptions!$G$40:$G$59,K$4,Assumptions!$F$40:$F$59)</f>
        <v>45150</v>
      </c>
      <c r="L16" s="28">
        <f>SUMIF(Assumptions!$G$40:$G$59,L$4,Assumptions!$F$40:$F$59)</f>
        <v>16950</v>
      </c>
      <c r="M16" s="28">
        <f>SUMIF(Assumptions!$G$40:$G$59,M$4,Assumptions!$F$40:$F$59)</f>
        <v>65500</v>
      </c>
      <c r="N16" s="28">
        <f>SUMIF(Assumptions!$G$40:$G$59,N$4,Assumptions!$F$40:$F$59)</f>
        <v>30000</v>
      </c>
      <c r="O16" s="28">
        <f>SUMIF(Assumptions!$G$40:$G$59,O$4,Assumptions!$F$40:$F$59)</f>
        <v>40000</v>
      </c>
      <c r="P16" s="28">
        <f t="shared" ref="P16:P27" si="2">SUM(C16:O16)</f>
        <v>645550</v>
      </c>
    </row>
    <row r="17" spans="1:16" x14ac:dyDescent="0.2">
      <c r="A17" s="23" t="s">
        <v>171</v>
      </c>
      <c r="B17" s="24" t="s">
        <v>172</v>
      </c>
      <c r="C17" s="28">
        <f>Assumptions!$C$64*Assumptions!D64</f>
        <v>0</v>
      </c>
      <c r="D17" s="28">
        <f>Assumptions!$C$64*Assumptions!E64</f>
        <v>0</v>
      </c>
      <c r="E17" s="28">
        <f>Assumptions!$C$64*Assumptions!F64</f>
        <v>98000</v>
      </c>
      <c r="F17" s="28">
        <f>Assumptions!$C$64*Assumptions!G64</f>
        <v>0</v>
      </c>
      <c r="G17" s="28">
        <f>Assumptions!$C$64*Assumptions!H64</f>
        <v>0</v>
      </c>
      <c r="H17" s="28">
        <f>Assumptions!$C$64*Assumptions!I64</f>
        <v>0</v>
      </c>
      <c r="I17" s="28">
        <f>Assumptions!$C$64*Assumptions!J64</f>
        <v>0</v>
      </c>
      <c r="J17" s="28">
        <f>Assumptions!$C$64*Assumptions!K64</f>
        <v>98000</v>
      </c>
      <c r="K17" s="28">
        <f>Assumptions!$C$64*Assumptions!L64</f>
        <v>0</v>
      </c>
      <c r="L17" s="28">
        <f>Assumptions!$C$64*Assumptions!M64</f>
        <v>0</v>
      </c>
      <c r="M17" s="28">
        <f>Assumptions!$C$64*Assumptions!N64</f>
        <v>0</v>
      </c>
      <c r="N17" s="28">
        <f>Assumptions!$C$64*Assumptions!O64</f>
        <v>98000</v>
      </c>
      <c r="O17" s="28">
        <f>Assumptions!$C$64*Assumptions!P64</f>
        <v>0</v>
      </c>
      <c r="P17" s="28">
        <f t="shared" si="2"/>
        <v>294000</v>
      </c>
    </row>
    <row r="18" spans="1:16" x14ac:dyDescent="0.2">
      <c r="A18" s="23" t="s">
        <v>173</v>
      </c>
      <c r="B18" s="24" t="s">
        <v>172</v>
      </c>
      <c r="C18" s="28">
        <f>Assumptions!$C$65*Assumptions!D65</f>
        <v>0</v>
      </c>
      <c r="D18" s="28">
        <f>Assumptions!$C$65*Assumptions!E65</f>
        <v>0</v>
      </c>
      <c r="E18" s="28">
        <f>Assumptions!$C$65*Assumptions!F65</f>
        <v>30500</v>
      </c>
      <c r="F18" s="28">
        <f>Assumptions!$C$65*Assumptions!G65</f>
        <v>0</v>
      </c>
      <c r="G18" s="28">
        <f>Assumptions!$C$65*Assumptions!H65</f>
        <v>30500</v>
      </c>
      <c r="H18" s="28">
        <f>Assumptions!$C$65*Assumptions!I65</f>
        <v>0</v>
      </c>
      <c r="I18" s="28">
        <f>Assumptions!$C$65*Assumptions!J65</f>
        <v>0</v>
      </c>
      <c r="J18" s="28">
        <f>Assumptions!$C$65*Assumptions!K65</f>
        <v>30500</v>
      </c>
      <c r="K18" s="28">
        <f>Assumptions!$C$65*Assumptions!L65</f>
        <v>30500</v>
      </c>
      <c r="L18" s="28">
        <f>Assumptions!$C$65*Assumptions!M65</f>
        <v>0</v>
      </c>
      <c r="M18" s="28">
        <f>Assumptions!$C$65*Assumptions!N65</f>
        <v>0</v>
      </c>
      <c r="N18" s="28">
        <f>Assumptions!$C$65*Assumptions!O65</f>
        <v>30500</v>
      </c>
      <c r="O18" s="28">
        <f>Assumptions!$C$65*Assumptions!P65</f>
        <v>0</v>
      </c>
      <c r="P18" s="28">
        <f t="shared" si="2"/>
        <v>152500</v>
      </c>
    </row>
    <row r="19" spans="1:16" x14ac:dyDescent="0.2">
      <c r="A19" s="23" t="s">
        <v>142</v>
      </c>
      <c r="B19" s="24" t="s">
        <v>172</v>
      </c>
      <c r="C19" s="28">
        <f>Assumptions!$C$66*Assumptions!D66</f>
        <v>0</v>
      </c>
      <c r="D19" s="28">
        <f>Assumptions!$C$66*Assumptions!E66</f>
        <v>0</v>
      </c>
      <c r="E19" s="28">
        <f>Assumptions!$C$66*Assumptions!F66</f>
        <v>0</v>
      </c>
      <c r="F19" s="28">
        <f>Assumptions!$C$66*Assumptions!G66</f>
        <v>14500</v>
      </c>
      <c r="G19" s="28">
        <f>Assumptions!$C$66*Assumptions!H66</f>
        <v>0</v>
      </c>
      <c r="H19" s="28">
        <f>Assumptions!$C$66*Assumptions!I66</f>
        <v>0</v>
      </c>
      <c r="I19" s="28">
        <f>Assumptions!$C$66*Assumptions!J66</f>
        <v>0</v>
      </c>
      <c r="J19" s="28">
        <f>Assumptions!$C$66*Assumptions!K66</f>
        <v>14500</v>
      </c>
      <c r="K19" s="28">
        <f>Assumptions!$C$66*Assumptions!L66</f>
        <v>0</v>
      </c>
      <c r="L19" s="28">
        <f>Assumptions!$C$66*Assumptions!M66</f>
        <v>0</v>
      </c>
      <c r="M19" s="28">
        <f>Assumptions!$C$66*Assumptions!N66</f>
        <v>0</v>
      </c>
      <c r="N19" s="28">
        <f>Assumptions!$C$66*Assumptions!O66</f>
        <v>14500</v>
      </c>
      <c r="O19" s="28">
        <f>Assumptions!$C$66*Assumptions!P66</f>
        <v>0</v>
      </c>
      <c r="P19" s="28">
        <f t="shared" si="2"/>
        <v>43500</v>
      </c>
    </row>
    <row r="20" spans="1:16" x14ac:dyDescent="0.2">
      <c r="A20" s="23" t="s">
        <v>174</v>
      </c>
      <c r="B20" s="24" t="s">
        <v>172</v>
      </c>
      <c r="C20" s="28">
        <f>Assumptions!$C$67*Assumptions!D67</f>
        <v>0</v>
      </c>
      <c r="D20" s="28">
        <f>Assumptions!$C$67*Assumptions!E67</f>
        <v>21000</v>
      </c>
      <c r="E20" s="28">
        <f>Assumptions!$C$67*Assumptions!F67</f>
        <v>0</v>
      </c>
      <c r="F20" s="28">
        <f>Assumptions!$C$67*Assumptions!G67</f>
        <v>0</v>
      </c>
      <c r="G20" s="28">
        <f>Assumptions!$C$67*Assumptions!H67</f>
        <v>0</v>
      </c>
      <c r="H20" s="28">
        <f>Assumptions!$C$67*Assumptions!I67</f>
        <v>21000</v>
      </c>
      <c r="I20" s="28">
        <f>Assumptions!$C$67*Assumptions!J67</f>
        <v>0</v>
      </c>
      <c r="J20" s="28">
        <f>Assumptions!$C$67*Assumptions!K67</f>
        <v>0</v>
      </c>
      <c r="K20" s="28">
        <f>Assumptions!$C$67*Assumptions!L67</f>
        <v>0</v>
      </c>
      <c r="L20" s="28">
        <f>Assumptions!$C$67*Assumptions!M67</f>
        <v>21000</v>
      </c>
      <c r="M20" s="28">
        <f>Assumptions!$C$67*Assumptions!N67</f>
        <v>0</v>
      </c>
      <c r="N20" s="28">
        <f>Assumptions!$C$67*Assumptions!O67</f>
        <v>0</v>
      </c>
      <c r="O20" s="28">
        <f>Assumptions!$C$67*Assumptions!P67</f>
        <v>0</v>
      </c>
      <c r="P20" s="28">
        <f t="shared" si="2"/>
        <v>63000</v>
      </c>
    </row>
    <row r="21" spans="1:16" x14ac:dyDescent="0.2">
      <c r="A21" s="23" t="s">
        <v>144</v>
      </c>
      <c r="B21" s="24" t="s">
        <v>172</v>
      </c>
      <c r="C21" s="28">
        <f>Assumptions!$C$68*Assumptions!D68</f>
        <v>0</v>
      </c>
      <c r="D21" s="28">
        <f>Assumptions!$C$68*Assumptions!E68</f>
        <v>17500</v>
      </c>
      <c r="E21" s="28">
        <f>Assumptions!$C$68*Assumptions!F68</f>
        <v>0</v>
      </c>
      <c r="F21" s="28">
        <f>Assumptions!$C$68*Assumptions!G68</f>
        <v>0</v>
      </c>
      <c r="G21" s="28">
        <f>Assumptions!$C$68*Assumptions!H68</f>
        <v>0</v>
      </c>
      <c r="H21" s="28">
        <f>Assumptions!$C$68*Assumptions!I68</f>
        <v>17500</v>
      </c>
      <c r="I21" s="28">
        <f>Assumptions!$C$68*Assumptions!J68</f>
        <v>0</v>
      </c>
      <c r="J21" s="28">
        <f>Assumptions!$C$68*Assumptions!K68</f>
        <v>0</v>
      </c>
      <c r="K21" s="28">
        <f>Assumptions!$C$68*Assumptions!L68</f>
        <v>0</v>
      </c>
      <c r="L21" s="28">
        <f>Assumptions!$C$68*Assumptions!M68</f>
        <v>17500</v>
      </c>
      <c r="M21" s="28">
        <f>Assumptions!$C$68*Assumptions!N68</f>
        <v>0</v>
      </c>
      <c r="N21" s="28">
        <f>Assumptions!$C$68*Assumptions!O68</f>
        <v>0</v>
      </c>
      <c r="O21" s="28">
        <f>Assumptions!$C$68*Assumptions!P68</f>
        <v>0</v>
      </c>
      <c r="P21" s="28">
        <f t="shared" si="2"/>
        <v>52500</v>
      </c>
    </row>
    <row r="22" spans="1:16" x14ac:dyDescent="0.2">
      <c r="A22" s="23" t="s">
        <v>175</v>
      </c>
      <c r="B22" s="24" t="s">
        <v>172</v>
      </c>
      <c r="C22" s="28">
        <f>Assumptions!$C$69*Assumptions!D69</f>
        <v>0</v>
      </c>
      <c r="D22" s="28">
        <f>Assumptions!$C$69*Assumptions!E69</f>
        <v>0</v>
      </c>
      <c r="E22" s="28">
        <f>Assumptions!$C$69*Assumptions!F69</f>
        <v>0</v>
      </c>
      <c r="F22" s="28">
        <f>Assumptions!$C$69*Assumptions!G69</f>
        <v>5700</v>
      </c>
      <c r="G22" s="28">
        <f>Assumptions!$C$69*Assumptions!H69</f>
        <v>0</v>
      </c>
      <c r="H22" s="28">
        <f>Assumptions!$C$69*Assumptions!I69</f>
        <v>0</v>
      </c>
      <c r="I22" s="28">
        <f>Assumptions!$C$69*Assumptions!J69</f>
        <v>0</v>
      </c>
      <c r="J22" s="28">
        <f>Assumptions!$C$69*Assumptions!K69</f>
        <v>0</v>
      </c>
      <c r="K22" s="28">
        <f>Assumptions!$C$69*Assumptions!L69</f>
        <v>5700</v>
      </c>
      <c r="L22" s="28">
        <f>Assumptions!$C$69*Assumptions!M69</f>
        <v>0</v>
      </c>
      <c r="M22" s="28">
        <f>Assumptions!$C$69*Assumptions!N69</f>
        <v>0</v>
      </c>
      <c r="N22" s="28">
        <f>Assumptions!$C$69*Assumptions!O69</f>
        <v>0</v>
      </c>
      <c r="O22" s="28">
        <f>Assumptions!$C$69*Assumptions!P69</f>
        <v>0</v>
      </c>
      <c r="P22" s="28">
        <f t="shared" si="2"/>
        <v>11400</v>
      </c>
    </row>
    <row r="23" spans="1:16" x14ac:dyDescent="0.2">
      <c r="A23" s="23" t="s">
        <v>146</v>
      </c>
      <c r="B23" s="24" t="s">
        <v>172</v>
      </c>
      <c r="C23" s="28">
        <f>Assumptions!$C$70*Assumptions!D70</f>
        <v>0</v>
      </c>
      <c r="D23" s="28">
        <f>Assumptions!$C$70*Assumptions!E70</f>
        <v>0</v>
      </c>
      <c r="E23" s="28">
        <f>Assumptions!$C$70*Assumptions!F70</f>
        <v>6200</v>
      </c>
      <c r="F23" s="28">
        <f>Assumptions!$C$70*Assumptions!G70</f>
        <v>0</v>
      </c>
      <c r="G23" s="28">
        <f>Assumptions!$C$70*Assumptions!H70</f>
        <v>0</v>
      </c>
      <c r="H23" s="28">
        <f>Assumptions!$C$70*Assumptions!I70</f>
        <v>0</v>
      </c>
      <c r="I23" s="28">
        <f>Assumptions!$C$70*Assumptions!J70</f>
        <v>0</v>
      </c>
      <c r="J23" s="28">
        <f>Assumptions!$C$70*Assumptions!K70</f>
        <v>6200</v>
      </c>
      <c r="K23" s="28">
        <f>Assumptions!$C$70*Assumptions!L70</f>
        <v>0</v>
      </c>
      <c r="L23" s="28">
        <f>Assumptions!$C$70*Assumptions!M70</f>
        <v>0</v>
      </c>
      <c r="M23" s="28">
        <f>Assumptions!$C$70*Assumptions!N70</f>
        <v>0</v>
      </c>
      <c r="N23" s="28">
        <f>Assumptions!$C$70*Assumptions!O70</f>
        <v>6200</v>
      </c>
      <c r="O23" s="28">
        <f>Assumptions!$C$70*Assumptions!P70</f>
        <v>0</v>
      </c>
      <c r="P23" s="28">
        <f t="shared" si="2"/>
        <v>18600</v>
      </c>
    </row>
    <row r="24" spans="1:16" x14ac:dyDescent="0.2">
      <c r="A24" s="23" t="s">
        <v>147</v>
      </c>
      <c r="B24" s="24" t="s">
        <v>172</v>
      </c>
      <c r="C24" s="28">
        <f>Assumptions!$C$71*Assumptions!D71</f>
        <v>4500</v>
      </c>
      <c r="D24" s="28">
        <f>Assumptions!$C$71*Assumptions!E71</f>
        <v>4500</v>
      </c>
      <c r="E24" s="28">
        <f>Assumptions!$C$71*Assumptions!F71</f>
        <v>4500</v>
      </c>
      <c r="F24" s="28">
        <f>Assumptions!$C$71*Assumptions!G71</f>
        <v>4500</v>
      </c>
      <c r="G24" s="28">
        <f>Assumptions!$C$71*Assumptions!H71</f>
        <v>4500</v>
      </c>
      <c r="H24" s="28">
        <f>Assumptions!$C$71*Assumptions!I71</f>
        <v>4500</v>
      </c>
      <c r="I24" s="28">
        <f>Assumptions!$C$71*Assumptions!J71</f>
        <v>4500</v>
      </c>
      <c r="J24" s="28">
        <f>Assumptions!$C$71*Assumptions!K71</f>
        <v>4500</v>
      </c>
      <c r="K24" s="28">
        <f>Assumptions!$C$71*Assumptions!L71</f>
        <v>4500</v>
      </c>
      <c r="L24" s="28">
        <f>Assumptions!$C$71*Assumptions!M71</f>
        <v>4500</v>
      </c>
      <c r="M24" s="28">
        <f>Assumptions!$C$71*Assumptions!N71</f>
        <v>4500</v>
      </c>
      <c r="N24" s="28">
        <f>Assumptions!$C$71*Assumptions!O71</f>
        <v>4500</v>
      </c>
      <c r="O24" s="28">
        <f>Assumptions!$C$71*Assumptions!P71</f>
        <v>4500</v>
      </c>
      <c r="P24" s="28">
        <f t="shared" si="2"/>
        <v>58500</v>
      </c>
    </row>
    <row r="25" spans="1:16" x14ac:dyDescent="0.2">
      <c r="A25" s="23" t="s">
        <v>176</v>
      </c>
      <c r="B25" s="24" t="s">
        <v>172</v>
      </c>
      <c r="C25" s="28">
        <f>Assumptions!$C$72*Assumptions!D72</f>
        <v>0</v>
      </c>
      <c r="D25" s="28">
        <f>Assumptions!$C$72*Assumptions!E72</f>
        <v>0</v>
      </c>
      <c r="E25" s="28">
        <f>Assumptions!$C$72*Assumptions!F72</f>
        <v>0</v>
      </c>
      <c r="F25" s="28">
        <f>Assumptions!$C$72*Assumptions!G72</f>
        <v>9800</v>
      </c>
      <c r="G25" s="28">
        <f>Assumptions!$C$72*Assumptions!H72</f>
        <v>0</v>
      </c>
      <c r="H25" s="28">
        <f>Assumptions!$C$72*Assumptions!I72</f>
        <v>0</v>
      </c>
      <c r="I25" s="28">
        <f>Assumptions!$C$72*Assumptions!J72</f>
        <v>0</v>
      </c>
      <c r="J25" s="28">
        <f>Assumptions!$C$72*Assumptions!K72</f>
        <v>9800</v>
      </c>
      <c r="K25" s="28">
        <f>Assumptions!$C$72*Assumptions!L72</f>
        <v>0</v>
      </c>
      <c r="L25" s="28">
        <f>Assumptions!$C$72*Assumptions!M72</f>
        <v>0</v>
      </c>
      <c r="M25" s="28">
        <f>Assumptions!$C$72*Assumptions!N72</f>
        <v>0</v>
      </c>
      <c r="N25" s="28">
        <f>Assumptions!$C$72*Assumptions!O72</f>
        <v>9800</v>
      </c>
      <c r="O25" s="28">
        <f>Assumptions!$C$72*Assumptions!P72</f>
        <v>0</v>
      </c>
      <c r="P25" s="28">
        <f t="shared" si="2"/>
        <v>29400</v>
      </c>
    </row>
    <row r="26" spans="1:16" x14ac:dyDescent="0.2">
      <c r="A26" s="23" t="s">
        <v>177</v>
      </c>
      <c r="B26" s="24" t="s">
        <v>178</v>
      </c>
      <c r="C26" s="28">
        <f>Assumptions!D73*C40</f>
        <v>38000</v>
      </c>
      <c r="D26" s="28">
        <f>Assumptions!E73*D40</f>
        <v>0</v>
      </c>
      <c r="E26" s="28">
        <f>Assumptions!F73*E40</f>
        <v>0</v>
      </c>
      <c r="F26" s="28">
        <f>Assumptions!G73*F40</f>
        <v>0</v>
      </c>
      <c r="G26" s="28">
        <f>Assumptions!H73*G40</f>
        <v>12372.991596638658</v>
      </c>
      <c r="H26" s="28">
        <f>Assumptions!I73*H40</f>
        <v>0</v>
      </c>
      <c r="I26" s="28">
        <f>Assumptions!J73*I40</f>
        <v>0</v>
      </c>
      <c r="J26" s="28">
        <f>Assumptions!K73*J40</f>
        <v>0</v>
      </c>
      <c r="K26" s="28">
        <f>Assumptions!L73*K40</f>
        <v>10660.756302521009</v>
      </c>
      <c r="L26" s="28">
        <f>Assumptions!M73*L40</f>
        <v>0</v>
      </c>
      <c r="M26" s="28">
        <f>Assumptions!N73*M40</f>
        <v>0</v>
      </c>
      <c r="N26" s="28">
        <f>Assumptions!O73*N40</f>
        <v>0</v>
      </c>
      <c r="O26" s="28">
        <f>Assumptions!P73*O40</f>
        <v>0</v>
      </c>
      <c r="P26" s="28">
        <f t="shared" si="2"/>
        <v>61033.747899159673</v>
      </c>
    </row>
    <row r="27" spans="1:16" x14ac:dyDescent="0.2">
      <c r="A27" s="26" t="s">
        <v>179</v>
      </c>
      <c r="B27" s="24" t="s">
        <v>180</v>
      </c>
      <c r="C27" s="27">
        <f t="shared" ref="C27:O27" si="3">SUM(C16:C26)</f>
        <v>71200</v>
      </c>
      <c r="D27" s="27">
        <f t="shared" si="3"/>
        <v>148040</v>
      </c>
      <c r="E27" s="27">
        <f t="shared" si="3"/>
        <v>234300</v>
      </c>
      <c r="F27" s="27">
        <f t="shared" si="3"/>
        <v>76300</v>
      </c>
      <c r="G27" s="27">
        <f t="shared" si="3"/>
        <v>114972.99159663866</v>
      </c>
      <c r="H27" s="27">
        <f t="shared" si="3"/>
        <v>69750</v>
      </c>
      <c r="I27" s="27">
        <f t="shared" si="3"/>
        <v>43060</v>
      </c>
      <c r="J27" s="27">
        <f t="shared" si="3"/>
        <v>207900</v>
      </c>
      <c r="K27" s="27">
        <f t="shared" si="3"/>
        <v>96510.756302521011</v>
      </c>
      <c r="L27" s="27">
        <f t="shared" si="3"/>
        <v>59950</v>
      </c>
      <c r="M27" s="27">
        <f t="shared" si="3"/>
        <v>70000</v>
      </c>
      <c r="N27" s="27">
        <f t="shared" si="3"/>
        <v>193500</v>
      </c>
      <c r="O27" s="27">
        <f t="shared" si="3"/>
        <v>44500</v>
      </c>
      <c r="P27" s="27">
        <f t="shared" si="2"/>
        <v>1429983.7478991598</v>
      </c>
    </row>
    <row r="29" spans="1:16" x14ac:dyDescent="0.2">
      <c r="A29" s="26" t="s">
        <v>181</v>
      </c>
      <c r="B29" s="24" t="s">
        <v>182</v>
      </c>
      <c r="C29" s="27">
        <f t="shared" ref="C29:O29" si="4">C13-C27</f>
        <v>23535</v>
      </c>
      <c r="D29" s="27">
        <f>D13-D27</f>
        <v>-35465</v>
      </c>
      <c r="E29" s="27">
        <f t="shared" si="4"/>
        <v>21764</v>
      </c>
      <c r="F29" s="27">
        <f t="shared" si="4"/>
        <v>35660</v>
      </c>
      <c r="G29" s="27">
        <f t="shared" si="4"/>
        <v>-47132.991596638662</v>
      </c>
      <c r="H29" s="27">
        <f t="shared" si="4"/>
        <v>15030</v>
      </c>
      <c r="I29" s="27">
        <f>I13-I27</f>
        <v>58100</v>
      </c>
      <c r="J29" s="27">
        <f t="shared" si="4"/>
        <v>-80400</v>
      </c>
      <c r="K29" s="27">
        <f t="shared" si="4"/>
        <v>-7185.7563025210111</v>
      </c>
      <c r="L29" s="27">
        <f t="shared" si="4"/>
        <v>46165</v>
      </c>
      <c r="M29" s="27">
        <f t="shared" si="4"/>
        <v>24550</v>
      </c>
      <c r="N29" s="27">
        <f t="shared" si="4"/>
        <v>-68060</v>
      </c>
      <c r="O29" s="27">
        <f t="shared" si="4"/>
        <v>10500</v>
      </c>
      <c r="P29" s="27">
        <f>SUM(C29:O29)</f>
        <v>-2939.7478991596727</v>
      </c>
    </row>
    <row r="30" spans="1:16" x14ac:dyDescent="0.2">
      <c r="A30" s="29" t="s">
        <v>183</v>
      </c>
      <c r="B30" s="24" t="s">
        <v>184</v>
      </c>
      <c r="C30" s="30">
        <f t="shared" ref="C30:O30" si="5">C7+C29</f>
        <v>108535</v>
      </c>
      <c r="D30" s="30">
        <f t="shared" si="5"/>
        <v>73070</v>
      </c>
      <c r="E30" s="30">
        <f t="shared" si="5"/>
        <v>94834</v>
      </c>
      <c r="F30" s="30">
        <f t="shared" si="5"/>
        <v>130494</v>
      </c>
      <c r="G30" s="30">
        <f t="shared" si="5"/>
        <v>83361.008403361338</v>
      </c>
      <c r="H30" s="30">
        <f t="shared" si="5"/>
        <v>98391.008403361338</v>
      </c>
      <c r="I30" s="30">
        <f t="shared" si="5"/>
        <v>156491.00840336134</v>
      </c>
      <c r="J30" s="30">
        <f t="shared" si="5"/>
        <v>76091.008403361338</v>
      </c>
      <c r="K30" s="30">
        <f t="shared" si="5"/>
        <v>68905.252100840327</v>
      </c>
      <c r="L30" s="30">
        <f t="shared" si="5"/>
        <v>115070.25210084033</v>
      </c>
      <c r="M30" s="30">
        <f t="shared" si="5"/>
        <v>139620.25210084033</v>
      </c>
      <c r="N30" s="30">
        <f t="shared" si="5"/>
        <v>71560.252100840327</v>
      </c>
      <c r="O30" s="30">
        <f t="shared" si="5"/>
        <v>82060.252100840327</v>
      </c>
      <c r="P30" s="30">
        <f>O30</f>
        <v>82060.252100840327</v>
      </c>
    </row>
    <row r="31" spans="1:16" x14ac:dyDescent="0.2">
      <c r="A31" s="23" t="s">
        <v>185</v>
      </c>
      <c r="B31" s="24" t="s">
        <v>186</v>
      </c>
      <c r="C31" s="28">
        <f>Assumptions!$C$7</f>
        <v>75000</v>
      </c>
      <c r="D31" s="28">
        <f>Assumptions!$C$7</f>
        <v>75000</v>
      </c>
      <c r="E31" s="28">
        <f>Assumptions!$C$7</f>
        <v>75000</v>
      </c>
      <c r="F31" s="28">
        <f>Assumptions!$C$7</f>
        <v>75000</v>
      </c>
      <c r="G31" s="28">
        <f>Assumptions!$C$7</f>
        <v>75000</v>
      </c>
      <c r="H31" s="28">
        <f>Assumptions!$C$7</f>
        <v>75000</v>
      </c>
      <c r="I31" s="28">
        <f>Assumptions!$C$7</f>
        <v>75000</v>
      </c>
      <c r="J31" s="28">
        <f>Assumptions!$C$7</f>
        <v>75000</v>
      </c>
      <c r="K31" s="28">
        <f>Assumptions!$C$7</f>
        <v>75000</v>
      </c>
      <c r="L31" s="28">
        <f>Assumptions!$C$7</f>
        <v>75000</v>
      </c>
      <c r="M31" s="28">
        <f>Assumptions!$C$7</f>
        <v>75000</v>
      </c>
      <c r="N31" s="28">
        <f>Assumptions!$C$7</f>
        <v>75000</v>
      </c>
      <c r="O31" s="28">
        <f>Assumptions!$C$7</f>
        <v>75000</v>
      </c>
      <c r="P31" s="28"/>
    </row>
    <row r="32" spans="1:16" x14ac:dyDescent="0.2">
      <c r="A32" s="23" t="s">
        <v>187</v>
      </c>
      <c r="B32" s="24" t="s">
        <v>188</v>
      </c>
      <c r="C32" s="28">
        <f t="shared" ref="C32:O32" si="6">C30-C31</f>
        <v>33535</v>
      </c>
      <c r="D32" s="28">
        <f t="shared" si="6"/>
        <v>-1930</v>
      </c>
      <c r="E32" s="28">
        <f t="shared" si="6"/>
        <v>19834</v>
      </c>
      <c r="F32" s="28">
        <f t="shared" si="6"/>
        <v>55494</v>
      </c>
      <c r="G32" s="28">
        <f t="shared" si="6"/>
        <v>8361.0084033613384</v>
      </c>
      <c r="H32" s="28">
        <f t="shared" si="6"/>
        <v>23391.008403361338</v>
      </c>
      <c r="I32" s="28">
        <f t="shared" si="6"/>
        <v>81491.008403361338</v>
      </c>
      <c r="J32" s="28">
        <f t="shared" si="6"/>
        <v>1091.0084033613384</v>
      </c>
      <c r="K32" s="28">
        <f t="shared" si="6"/>
        <v>-6094.7478991596727</v>
      </c>
      <c r="L32" s="28">
        <f t="shared" si="6"/>
        <v>40070.252100840327</v>
      </c>
      <c r="M32" s="28">
        <f t="shared" si="6"/>
        <v>64620.252100840327</v>
      </c>
      <c r="N32" s="28">
        <f t="shared" si="6"/>
        <v>-3439.7478991596727</v>
      </c>
      <c r="O32" s="28">
        <f t="shared" si="6"/>
        <v>7060.2521008403273</v>
      </c>
      <c r="P32" s="28"/>
    </row>
    <row r="34" spans="1:16" x14ac:dyDescent="0.2">
      <c r="A34" s="39" t="s">
        <v>189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x14ac:dyDescent="0.2">
      <c r="A35" s="23" t="s">
        <v>190</v>
      </c>
      <c r="B35" s="24" t="s">
        <v>191</v>
      </c>
      <c r="C35" s="28">
        <f t="shared" ref="C35:O35" si="7">C29-C12</f>
        <v>23535</v>
      </c>
      <c r="D35" s="28">
        <f t="shared" si="7"/>
        <v>-35465</v>
      </c>
      <c r="E35" s="28">
        <f t="shared" si="7"/>
        <v>-128236</v>
      </c>
      <c r="F35" s="28">
        <f t="shared" si="7"/>
        <v>35660</v>
      </c>
      <c r="G35" s="28">
        <f t="shared" si="7"/>
        <v>-47132.991596638662</v>
      </c>
      <c r="H35" s="28">
        <f t="shared" si="7"/>
        <v>15030</v>
      </c>
      <c r="I35" s="28">
        <f t="shared" si="7"/>
        <v>58100</v>
      </c>
      <c r="J35" s="28">
        <f t="shared" si="7"/>
        <v>-140400</v>
      </c>
      <c r="K35" s="28">
        <f t="shared" si="7"/>
        <v>-7185.7563025210111</v>
      </c>
      <c r="L35" s="28">
        <f t="shared" si="7"/>
        <v>46165</v>
      </c>
      <c r="M35" s="28">
        <f t="shared" si="7"/>
        <v>24550</v>
      </c>
      <c r="N35" s="28">
        <f t="shared" si="7"/>
        <v>-68060</v>
      </c>
      <c r="O35" s="28">
        <f t="shared" si="7"/>
        <v>10500</v>
      </c>
      <c r="P35" s="28">
        <f>SUM(C35:O35)</f>
        <v>-212939.74789915967</v>
      </c>
    </row>
    <row r="36" spans="1:16" x14ac:dyDescent="0.2">
      <c r="A36" s="23" t="s">
        <v>192</v>
      </c>
      <c r="B36" s="24" t="s">
        <v>193</v>
      </c>
      <c r="C36" s="28">
        <f>SUMIF(Assumptions!$H$17:$H$30,C$4,Assumptions!$D$17:$D$30)</f>
        <v>103100</v>
      </c>
      <c r="D36" s="28">
        <f>SUMIF(Assumptions!$H$17:$H$30,D$4,Assumptions!$D$17:$D$30)</f>
        <v>118500</v>
      </c>
      <c r="E36" s="28">
        <f>SUMIF(Assumptions!$H$17:$H$30,E$4,Assumptions!$D$17:$D$30)</f>
        <v>110200</v>
      </c>
      <c r="F36" s="28">
        <f>SUMIF(Assumptions!$H$17:$H$30,F$4,Assumptions!$D$17:$D$30)</f>
        <v>142800</v>
      </c>
      <c r="G36" s="28">
        <f>SUMIF(Assumptions!$H$17:$H$30,G$4,Assumptions!$D$17:$D$30)</f>
        <v>47600</v>
      </c>
      <c r="H36" s="28">
        <f>SUMIF(Assumptions!$H$17:$H$30,H$4,Assumptions!$D$17:$D$30)</f>
        <v>91300</v>
      </c>
      <c r="I36" s="28">
        <f>SUMIF(Assumptions!$H$17:$H$30,I$4,Assumptions!$D$17:$D$30)</f>
        <v>82700</v>
      </c>
      <c r="J36" s="28">
        <f>SUMIF(Assumptions!$H$17:$H$30,J$4,Assumptions!$D$17:$D$30)</f>
        <v>55000</v>
      </c>
      <c r="K36" s="28">
        <f>SUMIF(Assumptions!$H$17:$H$30,K$4,Assumptions!$D$17:$D$30)</f>
        <v>59100</v>
      </c>
      <c r="L36" s="28">
        <f>SUMIF(Assumptions!$H$17:$H$30,L$4,Assumptions!$D$17:$D$30)</f>
        <v>71900</v>
      </c>
      <c r="M36" s="28">
        <f>SUMIF(Assumptions!$H$17:$H$30,M$4,Assumptions!$D$17:$D$30)</f>
        <v>49500</v>
      </c>
      <c r="N36" s="28">
        <f>SUMIF(Assumptions!$H$17:$H$30,N$4,Assumptions!$D$17:$D$30)</f>
        <v>94300</v>
      </c>
      <c r="O36" s="28">
        <f>SUMIF(Assumptions!$H$17:$H$30,O$4,Assumptions!$D$17:$D$30)</f>
        <v>0</v>
      </c>
      <c r="P36" s="28">
        <f>SUM(C36:O36)</f>
        <v>1026000</v>
      </c>
    </row>
    <row r="37" spans="1:16" x14ac:dyDescent="0.2">
      <c r="A37" s="23" t="s">
        <v>194</v>
      </c>
      <c r="B37" s="24" t="s">
        <v>195</v>
      </c>
      <c r="C37" s="28">
        <f>C7+C29+(C36-C10)</f>
        <v>116900</v>
      </c>
      <c r="D37" s="28">
        <f t="shared" ref="D37:O37" si="8">C37+D29+(D36-D10)</f>
        <v>87360</v>
      </c>
      <c r="E37" s="28">
        <f t="shared" si="8"/>
        <v>121260</v>
      </c>
      <c r="F37" s="28">
        <f t="shared" si="8"/>
        <v>199760</v>
      </c>
      <c r="G37" s="28">
        <f t="shared" si="8"/>
        <v>157387.00840336134</v>
      </c>
      <c r="H37" s="28">
        <f t="shared" si="8"/>
        <v>208937.00840336134</v>
      </c>
      <c r="I37" s="28">
        <f t="shared" si="8"/>
        <v>283577.00840336131</v>
      </c>
      <c r="J37" s="28">
        <f t="shared" si="8"/>
        <v>230677.00840336131</v>
      </c>
      <c r="K37" s="28">
        <f t="shared" si="8"/>
        <v>238266.2521008403</v>
      </c>
      <c r="L37" s="28">
        <f t="shared" si="8"/>
        <v>295216.25210084033</v>
      </c>
      <c r="M37" s="28">
        <f t="shared" si="8"/>
        <v>324716.25210084033</v>
      </c>
      <c r="N37" s="28">
        <f t="shared" si="8"/>
        <v>275516.25210084033</v>
      </c>
      <c r="O37" s="28">
        <f t="shared" si="8"/>
        <v>286016.25210084033</v>
      </c>
      <c r="P37" s="28">
        <f>O37</f>
        <v>286016.25210084033</v>
      </c>
    </row>
    <row r="39" spans="1:16" x14ac:dyDescent="0.2">
      <c r="A39" s="39" t="s">
        <v>196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x14ac:dyDescent="0.2">
      <c r="A40" s="23" t="s">
        <v>197</v>
      </c>
      <c r="B40" s="24" t="s">
        <v>198</v>
      </c>
      <c r="C40" s="28">
        <f>Assumptions!$C$11</f>
        <v>38000</v>
      </c>
      <c r="D40" s="28">
        <f t="shared" ref="D40:O40" si="9">C43</f>
        <v>9824.9159663865576</v>
      </c>
      <c r="E40" s="28">
        <f t="shared" si="9"/>
        <v>4162.4369747899182</v>
      </c>
      <c r="F40" s="28">
        <f t="shared" si="9"/>
        <v>4204.5882352941198</v>
      </c>
      <c r="G40" s="28">
        <f t="shared" si="9"/>
        <v>12372.991596638658</v>
      </c>
      <c r="H40" s="28">
        <f t="shared" si="9"/>
        <v>-680.16806722689034</v>
      </c>
      <c r="I40" s="28">
        <f t="shared" si="9"/>
        <v>1719.5798319327737</v>
      </c>
      <c r="J40" s="28">
        <f t="shared" si="9"/>
        <v>10996.050420168069</v>
      </c>
      <c r="K40" s="28">
        <f t="shared" si="9"/>
        <v>10660.756302521009</v>
      </c>
      <c r="L40" s="28">
        <f t="shared" si="9"/>
        <v>6334.6638655462175</v>
      </c>
      <c r="M40" s="28">
        <f t="shared" si="9"/>
        <v>13705.546218487394</v>
      </c>
      <c r="N40" s="28">
        <f t="shared" si="9"/>
        <v>17625.294117647059</v>
      </c>
      <c r="O40" s="28">
        <f t="shared" si="9"/>
        <v>28840.08403361345</v>
      </c>
      <c r="P40" s="28">
        <f>C40</f>
        <v>38000</v>
      </c>
    </row>
    <row r="41" spans="1:16" x14ac:dyDescent="0.2">
      <c r="A41" s="23" t="s">
        <v>199</v>
      </c>
      <c r="B41" s="24" t="s">
        <v>200</v>
      </c>
      <c r="C41" s="28">
        <f>(C10+C11-(C16+C19+C20+C21+C23+C24))*Assumptions!$C$9</f>
        <v>9824.9159663865557</v>
      </c>
      <c r="D41" s="28">
        <f>(D10+D11-(D16+D19+D20+D21+D23+D24))*Assumptions!$C$9</f>
        <v>-5662.4789915966394</v>
      </c>
      <c r="E41" s="28">
        <f>(E10+E11-(E16+E19+E20+E21+E23+E24))*Assumptions!$C$9</f>
        <v>42.151260504201687</v>
      </c>
      <c r="F41" s="28">
        <f>(F10+F11-(F16+F19+F20+F21+F23+F24))*Assumptions!$C$9</f>
        <v>8168.403361344539</v>
      </c>
      <c r="G41" s="28">
        <f>(G10+G11-(G16+G19+G20+G21+G23+G24))*Assumptions!$C$9</f>
        <v>-680.1680672268908</v>
      </c>
      <c r="H41" s="28">
        <f>(H10+H11-(H16+H19+H20+H21+H23+H24))*Assumptions!$C$9</f>
        <v>2399.747899159664</v>
      </c>
      <c r="I41" s="28">
        <f>(I10+I11-(I16+I19+I20+I21+I23+I24))*Assumptions!$C$9</f>
        <v>9276.4705882352955</v>
      </c>
      <c r="J41" s="28">
        <f>(J10+J11-(J16+J19+J20+J21+J23+J24))*Assumptions!$C$9</f>
        <v>-335.29411764705884</v>
      </c>
      <c r="K41" s="28">
        <f>(K10+K11-(K16+K19+K20+K21+K23+K24))*Assumptions!$C$9</f>
        <v>6334.6638655462193</v>
      </c>
      <c r="L41" s="28">
        <f>(L10+L11-(L16+L19+L20+L21+L23+L24))*Assumptions!$C$9</f>
        <v>7370.8823529411775</v>
      </c>
      <c r="M41" s="28">
        <f>(M10+M11-(M16+M19+M20+M21+M23+M24))*Assumptions!$C$9</f>
        <v>3919.747899159664</v>
      </c>
      <c r="N41" s="28">
        <f>(N10+N11-(N16+N19+N20+N21+N23+N24))*Assumptions!$C$9</f>
        <v>11214.789915966388</v>
      </c>
      <c r="O41" s="28">
        <f>(O10+O11-(O16+O19+O20+O21+O23+O24))*Assumptions!$C$9</f>
        <v>1676.4705882352944</v>
      </c>
      <c r="P41" s="28">
        <f>SUM(C41:O41)</f>
        <v>53550.302521008409</v>
      </c>
    </row>
    <row r="42" spans="1:16" x14ac:dyDescent="0.2">
      <c r="A42" s="23" t="s">
        <v>201</v>
      </c>
      <c r="B42" s="24" t="s">
        <v>202</v>
      </c>
      <c r="C42" s="28">
        <f t="shared" ref="C42:O42" si="10">C26</f>
        <v>38000</v>
      </c>
      <c r="D42" s="28">
        <f t="shared" si="10"/>
        <v>0</v>
      </c>
      <c r="E42" s="28">
        <f t="shared" si="10"/>
        <v>0</v>
      </c>
      <c r="F42" s="28">
        <f t="shared" si="10"/>
        <v>0</v>
      </c>
      <c r="G42" s="28">
        <f t="shared" si="10"/>
        <v>12372.991596638658</v>
      </c>
      <c r="H42" s="28">
        <f t="shared" si="10"/>
        <v>0</v>
      </c>
      <c r="I42" s="28">
        <f t="shared" si="10"/>
        <v>0</v>
      </c>
      <c r="J42" s="28">
        <f t="shared" si="10"/>
        <v>0</v>
      </c>
      <c r="K42" s="28">
        <f t="shared" si="10"/>
        <v>10660.756302521009</v>
      </c>
      <c r="L42" s="28">
        <f t="shared" si="10"/>
        <v>0</v>
      </c>
      <c r="M42" s="28">
        <f t="shared" si="10"/>
        <v>0</v>
      </c>
      <c r="N42" s="28">
        <f t="shared" si="10"/>
        <v>0</v>
      </c>
      <c r="O42" s="28">
        <f t="shared" si="10"/>
        <v>0</v>
      </c>
      <c r="P42" s="28">
        <f>SUM(C42:O42)</f>
        <v>61033.747899159673</v>
      </c>
    </row>
    <row r="43" spans="1:16" x14ac:dyDescent="0.2">
      <c r="A43" s="26" t="s">
        <v>203</v>
      </c>
      <c r="B43" s="24" t="s">
        <v>204</v>
      </c>
      <c r="C43" s="27">
        <f t="shared" ref="C43:O43" si="11">C40+C41-C42</f>
        <v>9824.9159663865576</v>
      </c>
      <c r="D43" s="27">
        <f t="shared" si="11"/>
        <v>4162.4369747899182</v>
      </c>
      <c r="E43" s="27">
        <f t="shared" si="11"/>
        <v>4204.5882352941198</v>
      </c>
      <c r="F43" s="27">
        <f t="shared" si="11"/>
        <v>12372.991596638658</v>
      </c>
      <c r="G43" s="27">
        <f t="shared" si="11"/>
        <v>-680.16806722689034</v>
      </c>
      <c r="H43" s="27">
        <f t="shared" si="11"/>
        <v>1719.5798319327737</v>
      </c>
      <c r="I43" s="27">
        <f t="shared" si="11"/>
        <v>10996.050420168069</v>
      </c>
      <c r="J43" s="27">
        <f t="shared" si="11"/>
        <v>10660.756302521009</v>
      </c>
      <c r="K43" s="27">
        <f t="shared" si="11"/>
        <v>6334.6638655462175</v>
      </c>
      <c r="L43" s="27">
        <f t="shared" si="11"/>
        <v>13705.546218487394</v>
      </c>
      <c r="M43" s="27">
        <f t="shared" si="11"/>
        <v>17625.294117647059</v>
      </c>
      <c r="N43" s="27">
        <f t="shared" si="11"/>
        <v>28840.08403361345</v>
      </c>
      <c r="O43" s="27">
        <f t="shared" si="11"/>
        <v>30516.554621848743</v>
      </c>
      <c r="P43" s="27">
        <f>O43</f>
        <v>30516.554621848743</v>
      </c>
    </row>
  </sheetData>
  <mergeCells count="6">
    <mergeCell ref="A39:P39"/>
    <mergeCell ref="A1:P1"/>
    <mergeCell ref="A2:P2"/>
    <mergeCell ref="A9:P9"/>
    <mergeCell ref="A15:P15"/>
    <mergeCell ref="A34:P34"/>
  </mergeCells>
  <conditionalFormatting sqref="C30:O30">
    <cfRule type="expression" dxfId="3" priority="1">
      <formula>C$30&lt;C$31</formula>
    </cfRule>
  </conditionalFormatting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48235"/>
    <pageSetUpPr fitToPage="1"/>
  </sheetPr>
  <dimension ref="B1:E25"/>
  <sheetViews>
    <sheetView showGridLines="0" tabSelected="1" topLeftCell="A4" zoomScale="138" workbookViewId="0">
      <selection activeCell="D10" sqref="D10:E10"/>
    </sheetView>
  </sheetViews>
  <sheetFormatPr baseColWidth="10" defaultColWidth="8.83203125" defaultRowHeight="15" x14ac:dyDescent="0.2"/>
  <cols>
    <col min="1" max="1" width="2.6640625" customWidth="1"/>
    <col min="2" max="2" width="42.6640625" customWidth="1"/>
    <col min="3" max="5" width="22.6640625" customWidth="1"/>
    <col min="6" max="6" width="2.6640625" customWidth="1"/>
    <col min="7" max="20" width="10.6640625" customWidth="1"/>
  </cols>
  <sheetData>
    <row r="1" spans="2:5" ht="21" x14ac:dyDescent="0.2">
      <c r="B1" s="37" t="s">
        <v>205</v>
      </c>
      <c r="C1" s="37"/>
      <c r="D1" s="37"/>
      <c r="E1" s="37"/>
    </row>
    <row r="2" spans="2:5" x14ac:dyDescent="0.2">
      <c r="B2" s="38" t="s">
        <v>206</v>
      </c>
      <c r="C2" s="38"/>
      <c r="D2" s="38"/>
      <c r="E2" s="38"/>
    </row>
    <row r="4" spans="2:5" x14ac:dyDescent="0.2">
      <c r="B4" s="39" t="s">
        <v>207</v>
      </c>
      <c r="C4" s="39"/>
      <c r="D4" s="39"/>
      <c r="E4" s="39"/>
    </row>
    <row r="5" spans="2:5" x14ac:dyDescent="0.2">
      <c r="B5" s="2" t="s">
        <v>208</v>
      </c>
      <c r="C5" s="31">
        <f>Assumptions!$C$6</f>
        <v>85000</v>
      </c>
      <c r="D5" s="38" t="s">
        <v>209</v>
      </c>
      <c r="E5" s="38"/>
    </row>
    <row r="6" spans="2:5" x14ac:dyDescent="0.2">
      <c r="B6" s="2" t="s">
        <v>210</v>
      </c>
      <c r="C6" s="31">
        <f>'13WCF'!O30</f>
        <v>82060.252100840327</v>
      </c>
      <c r="D6" s="38" t="s">
        <v>211</v>
      </c>
      <c r="E6" s="38"/>
    </row>
    <row r="7" spans="2:5" x14ac:dyDescent="0.2">
      <c r="B7" s="2" t="s">
        <v>212</v>
      </c>
      <c r="C7" s="31">
        <f>MIN('13WCF'!$C$30:$O$30)</f>
        <v>68905.252100840327</v>
      </c>
      <c r="D7" s="38" t="s">
        <v>213</v>
      </c>
      <c r="E7" s="38"/>
    </row>
    <row r="8" spans="2:5" x14ac:dyDescent="0.2">
      <c r="B8" s="2" t="s">
        <v>214</v>
      </c>
      <c r="C8" s="32">
        <f>INDEX('13WCF'!$C$4:$O$4,MATCH(C7,'13WCF'!$C$30:$O$30,FALSE))</f>
        <v>9</v>
      </c>
      <c r="D8" s="38" t="s">
        <v>215</v>
      </c>
      <c r="E8" s="38"/>
    </row>
    <row r="9" spans="2:5" x14ac:dyDescent="0.2">
      <c r="B9" s="2" t="s">
        <v>185</v>
      </c>
      <c r="C9" s="31">
        <f>Assumptions!$C$7</f>
        <v>75000</v>
      </c>
      <c r="D9" s="38" t="s">
        <v>216</v>
      </c>
      <c r="E9" s="38"/>
    </row>
    <row r="10" spans="2:5" x14ac:dyDescent="0.2">
      <c r="B10" s="2" t="s">
        <v>217</v>
      </c>
      <c r="C10" s="31">
        <f>C7-C9</f>
        <v>-6094.7478991596727</v>
      </c>
      <c r="D10" s="38" t="s">
        <v>218</v>
      </c>
      <c r="E10" s="38"/>
    </row>
    <row r="11" spans="2:5" x14ac:dyDescent="0.2">
      <c r="B11" s="2" t="s">
        <v>219</v>
      </c>
      <c r="C11" s="33">
        <f>COUNTIF('13WCF'!$C$30:$O$30,"&lt;"&amp;Assumptions!$C$7)</f>
        <v>3</v>
      </c>
      <c r="D11" s="38" t="s">
        <v>220</v>
      </c>
      <c r="E11" s="38"/>
    </row>
    <row r="12" spans="2:5" x14ac:dyDescent="0.2">
      <c r="B12" s="2" t="s">
        <v>221</v>
      </c>
      <c r="C12" s="31">
        <f>-AVERAGE('13WCF'!$C$35:$O$35)</f>
        <v>16379.980607627667</v>
      </c>
      <c r="D12" s="38" t="s">
        <v>222</v>
      </c>
      <c r="E12" s="38"/>
    </row>
    <row r="13" spans="2:5" x14ac:dyDescent="0.2">
      <c r="B13" s="2" t="s">
        <v>223</v>
      </c>
      <c r="C13" s="34">
        <f>IF(C12&gt;Assumptions!$C$13,C6/C12,"Cash generative")</f>
        <v>5.0097893316569202</v>
      </c>
      <c r="D13" s="38" t="s">
        <v>224</v>
      </c>
      <c r="E13" s="38"/>
    </row>
    <row r="14" spans="2:5" x14ac:dyDescent="0.2">
      <c r="B14" s="2" t="s">
        <v>225</v>
      </c>
      <c r="C14" s="31">
        <f>SUM('13WCF'!$C$12:$O$12)</f>
        <v>210000</v>
      </c>
      <c r="D14" s="38" t="s">
        <v>226</v>
      </c>
      <c r="E14" s="38"/>
    </row>
    <row r="16" spans="2:5" x14ac:dyDescent="0.2">
      <c r="B16" s="39" t="s">
        <v>227</v>
      </c>
      <c r="C16" s="39"/>
      <c r="D16" s="39"/>
      <c r="E16" s="39"/>
    </row>
    <row r="17" spans="2:5" ht="32" customHeight="1" x14ac:dyDescent="0.2">
      <c r="B17" s="4" t="s">
        <v>228</v>
      </c>
      <c r="C17" s="5" t="s">
        <v>229</v>
      </c>
      <c r="D17" s="5" t="s">
        <v>230</v>
      </c>
      <c r="E17" s="5" t="s">
        <v>231</v>
      </c>
    </row>
    <row r="18" spans="2:5" x14ac:dyDescent="0.2">
      <c r="B18" s="2" t="s">
        <v>232</v>
      </c>
      <c r="C18" s="31">
        <f>Assumptions!D31</f>
        <v>1026000</v>
      </c>
      <c r="D18" s="31">
        <f>Assumptions!F31</f>
        <v>822044</v>
      </c>
      <c r="E18" s="31">
        <f>C18-D18</f>
        <v>203956</v>
      </c>
    </row>
    <row r="19" spans="2:5" x14ac:dyDescent="0.2">
      <c r="B19" s="2" t="s">
        <v>233</v>
      </c>
      <c r="C19" s="31">
        <f>SUM('13WCF'!$C$36:$O$36)</f>
        <v>1026000</v>
      </c>
      <c r="D19" s="31">
        <f>SUM('13WCF'!$C$10:$O$10)</f>
        <v>822044</v>
      </c>
      <c r="E19" s="31">
        <f>C19-D19</f>
        <v>203956</v>
      </c>
    </row>
    <row r="20" spans="2:5" x14ac:dyDescent="0.2">
      <c r="B20" s="2" t="s">
        <v>210</v>
      </c>
      <c r="C20" s="31">
        <f>'13WCF'!O37</f>
        <v>286016.25210084033</v>
      </c>
      <c r="D20" s="31">
        <f>'13WCF'!O30</f>
        <v>82060.252100840327</v>
      </c>
      <c r="E20" s="31">
        <f>C20-D20</f>
        <v>203956</v>
      </c>
    </row>
    <row r="21" spans="2:5" x14ac:dyDescent="0.2">
      <c r="B21" s="2" t="s">
        <v>212</v>
      </c>
      <c r="C21" s="31">
        <f>MIN('13WCF'!$C$37:$O$37)</f>
        <v>87360</v>
      </c>
      <c r="D21" s="31">
        <f>MIN('13WCF'!$C$30:$O$30)</f>
        <v>68905.252100840327</v>
      </c>
      <c r="E21" s="31">
        <f>C21-D21</f>
        <v>18454.747899159673</v>
      </c>
    </row>
    <row r="22" spans="2:5" x14ac:dyDescent="0.2">
      <c r="B22" s="2" t="s">
        <v>219</v>
      </c>
      <c r="C22" s="33">
        <f>COUNTIF('13WCF'!$C$37:$O$37,"&lt;"&amp;Assumptions!$C$7)</f>
        <v>0</v>
      </c>
      <c r="D22" s="33">
        <f>COUNTIF('13WCF'!$C$30:$O$30,"&lt;"&amp;Assumptions!$C$7)</f>
        <v>3</v>
      </c>
      <c r="E22" s="33">
        <f>C22-D22</f>
        <v>-3</v>
      </c>
    </row>
    <row r="23" spans="2:5" x14ac:dyDescent="0.2">
      <c r="B23" s="2" t="s">
        <v>234</v>
      </c>
      <c r="C23" s="35"/>
      <c r="D23" s="36">
        <f>(C18-D18)/C18</f>
        <v>0.19878752436647174</v>
      </c>
      <c r="E23" s="35"/>
    </row>
    <row r="25" spans="2:5" x14ac:dyDescent="0.2">
      <c r="B25" s="38" t="s">
        <v>235</v>
      </c>
      <c r="C25" s="38"/>
      <c r="D25" s="38"/>
      <c r="E25" s="38"/>
    </row>
  </sheetData>
  <mergeCells count="15">
    <mergeCell ref="D12:E12"/>
    <mergeCell ref="D13:E13"/>
    <mergeCell ref="D14:E14"/>
    <mergeCell ref="B16:E16"/>
    <mergeCell ref="B25:E25"/>
    <mergeCell ref="D7:E7"/>
    <mergeCell ref="D8:E8"/>
    <mergeCell ref="D9:E9"/>
    <mergeCell ref="D10:E10"/>
    <mergeCell ref="D11:E11"/>
    <mergeCell ref="B1:E1"/>
    <mergeCell ref="B2:E2"/>
    <mergeCell ref="B4:E4"/>
    <mergeCell ref="D5:E5"/>
    <mergeCell ref="D6:E6"/>
  </mergeCells>
  <conditionalFormatting sqref="C7">
    <cfRule type="expression" dxfId="2" priority="1">
      <formula>$C$7&lt;$C$9</formula>
    </cfRule>
  </conditionalFormatting>
  <conditionalFormatting sqref="C10">
    <cfRule type="expression" dxfId="1" priority="2">
      <formula>$C$7&lt;$C$9</formula>
    </cfRule>
  </conditionalFormatting>
  <conditionalFormatting sqref="C21:D21">
    <cfRule type="expression" dxfId="0" priority="3">
      <formula>C21&lt;$C$9</formula>
    </cfRule>
  </conditionalFormatting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Company Factsheet</vt:lpstr>
      <vt:lpstr>Assumptions</vt:lpstr>
      <vt:lpstr>13WCF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Apex CNC - 13-Week Cash Flow Model</dc:title>
  <dc:subject>Direct Cash Flow / Turnaround</dc:subject>
  <dc:creator>Restructuring Finance</dc:creator>
  <dc:description>Illustrative dummy data</dc:description>
  <cp:lastModifiedBy>Neteler, Arun</cp:lastModifiedBy>
  <dcterms:created xsi:type="dcterms:W3CDTF">2026-10-06T11:34:11Z</dcterms:created>
  <dcterms:modified xsi:type="dcterms:W3CDTF">2026-10-06T11:52:30Z</dcterms:modified>
</cp:coreProperties>
</file>